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025" windowWidth="14805" windowHeight="6090"/>
  </bookViews>
  <sheets>
    <sheet name="Всего-дор" sheetId="4" r:id="rId1"/>
  </sheets>
  <externalReferences>
    <externalReference r:id="rId2"/>
  </externalReferences>
  <definedNames>
    <definedName name="_xlnm.Print_Titles" localSheetId="0">'Всего-дор'!$13:$13</definedName>
    <definedName name="_xlnm.Print_Area" localSheetId="0">'Всего-дор'!$A$1:$AA$359</definedName>
  </definedNames>
  <calcPr calcId="145621"/>
</workbook>
</file>

<file path=xl/calcChain.xml><?xml version="1.0" encoding="utf-8"?>
<calcChain xmlns="http://schemas.openxmlformats.org/spreadsheetml/2006/main">
  <c r="V128" i="4" l="1"/>
  <c r="V135" i="4"/>
  <c r="X31" i="4" l="1"/>
  <c r="Z39" i="4" l="1"/>
  <c r="X22" i="4"/>
  <c r="Z63" i="4"/>
  <c r="Z48" i="4"/>
  <c r="V152" i="4" l="1"/>
  <c r="V138" i="4" l="1"/>
  <c r="V98" i="4" l="1"/>
  <c r="V326" i="4"/>
  <c r="V197" i="4"/>
  <c r="Z84" i="4" l="1"/>
  <c r="Z83" i="4"/>
  <c r="V121" i="4" l="1"/>
  <c r="V114" i="4"/>
  <c r="V100" i="4" s="1"/>
  <c r="V107" i="4"/>
  <c r="V118" i="4"/>
  <c r="V106" i="4"/>
  <c r="V147" i="4" l="1"/>
  <c r="V170" i="4"/>
  <c r="Z170" i="4" s="1"/>
  <c r="V167" i="4"/>
  <c r="Z107" i="4"/>
  <c r="T108" i="4"/>
  <c r="V108" i="4"/>
  <c r="W108" i="4"/>
  <c r="X108" i="4"/>
  <c r="Y108" i="4"/>
  <c r="V104" i="4"/>
  <c r="Z104" i="4" s="1"/>
  <c r="V105" i="4"/>
  <c r="W127" i="4"/>
  <c r="X127" i="4"/>
  <c r="Y127" i="4"/>
  <c r="V127" i="4"/>
  <c r="Z129" i="4"/>
  <c r="U128" i="4"/>
  <c r="T128" i="4"/>
  <c r="V157" i="4"/>
  <c r="Z157" i="4" s="1"/>
  <c r="V160" i="4"/>
  <c r="Z159" i="4"/>
  <c r="V158" i="4"/>
  <c r="Z158" i="4" s="1"/>
  <c r="U156" i="4"/>
  <c r="Z156" i="4" s="1"/>
  <c r="Z136" i="4"/>
  <c r="V134" i="4"/>
  <c r="U135" i="4"/>
  <c r="T135" i="4"/>
  <c r="V150" i="4"/>
  <c r="Z121" i="4"/>
  <c r="Z94" i="4"/>
  <c r="Z106" i="4"/>
  <c r="Z105" i="4"/>
  <c r="V87" i="4"/>
  <c r="V85" i="4" s="1"/>
  <c r="Z85" i="4" s="1"/>
  <c r="Z86" i="4"/>
  <c r="V82" i="4"/>
  <c r="V154" i="4" l="1"/>
  <c r="V155" i="4"/>
  <c r="Z155" i="4" s="1"/>
  <c r="Z128" i="4"/>
  <c r="Z127" i="4" s="1"/>
  <c r="U154" i="4"/>
  <c r="Z135" i="4"/>
  <c r="Z161" i="4"/>
  <c r="Z120" i="4" l="1"/>
  <c r="Z119" i="4"/>
  <c r="Z118" i="4"/>
  <c r="Z88" i="4"/>
  <c r="W79" i="4"/>
  <c r="V79" i="4"/>
  <c r="Z80" i="4"/>
  <c r="Z81" i="4"/>
  <c r="Z82" i="4"/>
  <c r="W56" i="4"/>
  <c r="Z194" i="4"/>
  <c r="Z188" i="4"/>
  <c r="Z182" i="4"/>
  <c r="Z176" i="4"/>
  <c r="W29" i="4" l="1"/>
  <c r="Z79" i="4"/>
  <c r="Z87" i="4"/>
  <c r="Z279" i="4" l="1"/>
  <c r="Z278" i="4"/>
  <c r="Z277" i="4"/>
  <c r="Z276" i="4"/>
  <c r="V275" i="4"/>
  <c r="Z275" i="4" s="1"/>
  <c r="Z274" i="4"/>
  <c r="Z273" i="4"/>
  <c r="Z272" i="4"/>
  <c r="Z271" i="4"/>
  <c r="V270" i="4"/>
  <c r="Z270" i="4" s="1"/>
  <c r="Z269" i="4"/>
  <c r="Z268" i="4"/>
  <c r="Z267" i="4"/>
  <c r="Z266" i="4"/>
  <c r="V265" i="4"/>
  <c r="Z265" i="4" s="1"/>
  <c r="Z264" i="4"/>
  <c r="Z263" i="4"/>
  <c r="Z262" i="4"/>
  <c r="Z261" i="4"/>
  <c r="V260" i="4"/>
  <c r="Z260" i="4" s="1"/>
  <c r="Z259" i="4"/>
  <c r="Z258" i="4"/>
  <c r="Z257" i="4"/>
  <c r="Z256" i="4"/>
  <c r="Z255" i="4"/>
  <c r="V254" i="4"/>
  <c r="Z254" i="4" s="1"/>
  <c r="Z253" i="4"/>
  <c r="Z252" i="4"/>
  <c r="Z251" i="4"/>
  <c r="Z250" i="4"/>
  <c r="Z249" i="4"/>
  <c r="V248" i="4"/>
  <c r="Z248" i="4" s="1"/>
  <c r="Z241" i="4"/>
  <c r="Z238" i="4"/>
  <c r="Z239" i="4"/>
  <c r="Z240" i="4"/>
  <c r="Z236" i="4"/>
  <c r="Z233" i="4"/>
  <c r="Z234" i="4"/>
  <c r="Z235" i="4"/>
  <c r="Z231" i="4"/>
  <c r="Z228" i="4"/>
  <c r="Z229" i="4"/>
  <c r="Z230" i="4"/>
  <c r="Z226" i="4"/>
  <c r="Z223" i="4"/>
  <c r="Z224" i="4"/>
  <c r="Z225" i="4"/>
  <c r="Z221" i="4"/>
  <c r="Z218" i="4"/>
  <c r="Z219" i="4"/>
  <c r="Z220" i="4"/>
  <c r="Z216" i="4"/>
  <c r="Z213" i="4"/>
  <c r="Z214" i="4"/>
  <c r="Z215" i="4"/>
  <c r="V237" i="4"/>
  <c r="Z237" i="4" s="1"/>
  <c r="V232" i="4"/>
  <c r="Z232" i="4" s="1"/>
  <c r="V227" i="4"/>
  <c r="Z227" i="4" s="1"/>
  <c r="V222" i="4"/>
  <c r="Z222" i="4" s="1"/>
  <c r="V217" i="4"/>
  <c r="Z217" i="4" s="1"/>
  <c r="V212" i="4"/>
  <c r="Z212" i="4" s="1"/>
  <c r="Z243" i="4"/>
  <c r="Z244" i="4"/>
  <c r="Z245" i="4"/>
  <c r="Z246" i="4"/>
  <c r="Z247" i="4"/>
  <c r="V242" i="4"/>
  <c r="Z242" i="4" s="1"/>
  <c r="V178" i="4" l="1"/>
  <c r="U150" i="4" l="1"/>
  <c r="U152" i="4"/>
  <c r="V91" i="4" l="1"/>
  <c r="V144" i="4" l="1"/>
  <c r="V169" i="4" l="1"/>
  <c r="V184" i="4"/>
  <c r="Z187" i="4"/>
  <c r="T42" i="4"/>
  <c r="V42" i="4"/>
  <c r="Z45" i="4"/>
  <c r="Z175" i="4"/>
  <c r="V172" i="4"/>
  <c r="Z169" i="4" l="1"/>
  <c r="V166" i="4"/>
  <c r="V164" i="4" s="1"/>
  <c r="Z193" i="4"/>
  <c r="Z181" i="4"/>
  <c r="V117" i="4"/>
  <c r="Z98" i="4"/>
  <c r="Z97" i="4"/>
  <c r="Z93" i="4"/>
  <c r="U91" i="4"/>
  <c r="T91" i="4"/>
  <c r="V113" i="4" l="1"/>
  <c r="V103" i="4"/>
  <c r="V99" i="4" s="1"/>
  <c r="V190" i="4"/>
  <c r="Z117" i="4"/>
  <c r="Z91" i="4"/>
  <c r="Z44" i="4"/>
  <c r="Z103" i="4" l="1"/>
  <c r="V171" i="4"/>
  <c r="V165" i="4" s="1"/>
  <c r="U288" i="4" l="1"/>
  <c r="Z293" i="4"/>
  <c r="Z294" i="4"/>
  <c r="U74" i="4"/>
  <c r="V325" i="4" l="1"/>
  <c r="W325" i="4"/>
  <c r="X325" i="4"/>
  <c r="Y325" i="4"/>
  <c r="W326" i="4"/>
  <c r="X326" i="4"/>
  <c r="Y326" i="4"/>
  <c r="U326" i="4" l="1"/>
  <c r="U325" i="4"/>
  <c r="U197" i="4"/>
  <c r="U132" i="4"/>
  <c r="U309" i="4" l="1"/>
  <c r="U64" i="4"/>
  <c r="U53" i="4"/>
  <c r="U199" i="4"/>
  <c r="U191" i="4"/>
  <c r="U185" i="4"/>
  <c r="U179" i="4"/>
  <c r="U173" i="4"/>
  <c r="U147" i="4"/>
  <c r="U144" i="4"/>
  <c r="U141" i="4"/>
  <c r="U134" i="4"/>
  <c r="U127" i="4"/>
  <c r="U114" i="4"/>
  <c r="U92" i="4"/>
  <c r="Z162" i="4" l="1"/>
  <c r="U122" i="4" l="1"/>
  <c r="U108" i="4" s="1"/>
  <c r="Z108" i="4" s="1"/>
  <c r="V308" i="4" l="1"/>
  <c r="U308" i="4"/>
  <c r="Z311" i="4"/>
  <c r="U322" i="4" l="1"/>
  <c r="U60" i="4" l="1"/>
  <c r="U43" i="4"/>
  <c r="U42" i="4" s="1"/>
  <c r="Z42" i="4" s="1"/>
  <c r="U34" i="4"/>
  <c r="V30" i="4" l="1"/>
  <c r="Z47" i="4"/>
  <c r="U99" i="4" l="1"/>
  <c r="Z102" i="4"/>
  <c r="U113" i="4"/>
  <c r="Z116" i="4"/>
  <c r="U283" i="4" l="1"/>
  <c r="Z297" i="4"/>
  <c r="Z295" i="4"/>
  <c r="W30" i="4" l="1"/>
  <c r="U30" i="4"/>
  <c r="U31" i="4"/>
  <c r="T32" i="4" l="1"/>
  <c r="W32" i="4"/>
  <c r="U32" i="4"/>
  <c r="X30" i="4" l="1"/>
  <c r="W113" i="4"/>
  <c r="X113" i="4"/>
  <c r="Y113" i="4"/>
  <c r="X100" i="4"/>
  <c r="Y100" i="4"/>
  <c r="X99" i="4"/>
  <c r="Y99" i="4"/>
  <c r="X29" i="4"/>
  <c r="W320" i="4"/>
  <c r="W281" i="4" s="1"/>
  <c r="W280" i="4" s="1"/>
  <c r="X320" i="4"/>
  <c r="X281" i="4" s="1"/>
  <c r="X280" i="4" s="1"/>
  <c r="Y320" i="4"/>
  <c r="Y281" i="4" s="1"/>
  <c r="Y280" i="4" s="1"/>
  <c r="W99" i="4"/>
  <c r="V320" i="4" l="1"/>
  <c r="V281" i="4" s="1"/>
  <c r="U320" i="4" l="1"/>
  <c r="Z321" i="4"/>
  <c r="Z322" i="4"/>
  <c r="Z320" i="4" l="1"/>
  <c r="U171" i="4"/>
  <c r="U165" i="4" s="1"/>
  <c r="Z38" i="4" l="1"/>
  <c r="U33" i="4"/>
  <c r="W100" i="4" l="1"/>
  <c r="V89" i="4" l="1"/>
  <c r="Z154" i="4"/>
  <c r="Z160" i="4"/>
  <c r="U146" i="4" l="1"/>
  <c r="U145" i="4"/>
  <c r="Z205" i="4" l="1"/>
  <c r="Z201" i="4"/>
  <c r="Z209" i="4"/>
  <c r="U207" i="4"/>
  <c r="Z207" i="4" s="1"/>
  <c r="Z208" i="4"/>
  <c r="U203" i="4"/>
  <c r="U202" i="4" s="1"/>
  <c r="Z202" i="4" s="1"/>
  <c r="Z204" i="4"/>
  <c r="Z200" i="4"/>
  <c r="Z199" i="4"/>
  <c r="U314" i="4"/>
  <c r="Z317" i="4"/>
  <c r="Z73" i="4"/>
  <c r="Z74" i="4"/>
  <c r="U72" i="4"/>
  <c r="U29" i="4" s="1"/>
  <c r="T72" i="4"/>
  <c r="Z72" i="4" l="1"/>
  <c r="U198" i="4"/>
  <c r="Z198" i="4" s="1"/>
  <c r="U206" i="4"/>
  <c r="Z206" i="4" s="1"/>
  <c r="Z203" i="4"/>
  <c r="Z49" i="4" l="1"/>
  <c r="U100" i="4" l="1"/>
  <c r="Z316" i="4"/>
  <c r="U281" i="4"/>
  <c r="T308" i="4"/>
  <c r="Z310" i="4"/>
  <c r="T290" i="4"/>
  <c r="Z308" i="4" l="1"/>
  <c r="T284" i="4"/>
  <c r="T286" i="4"/>
  <c r="T150" i="4" l="1"/>
  <c r="T127" i="4"/>
  <c r="T92" i="4"/>
  <c r="T315" i="4" l="1"/>
  <c r="T314" i="4" s="1"/>
  <c r="Z314" i="4" s="1"/>
  <c r="Z291" i="4"/>
  <c r="Z292" i="4"/>
  <c r="T185" i="4"/>
  <c r="T197" i="4" l="1"/>
  <c r="Z192" i="4"/>
  <c r="Z186" i="4"/>
  <c r="Z180" i="4"/>
  <c r="Z174" i="4"/>
  <c r="U172" i="4"/>
  <c r="W172" i="4"/>
  <c r="X172" i="4"/>
  <c r="Y172" i="4"/>
  <c r="T168" i="4"/>
  <c r="U167" i="4"/>
  <c r="U166" i="4" s="1"/>
  <c r="U164" i="4" s="1"/>
  <c r="W167" i="4"/>
  <c r="W166" i="4" s="1"/>
  <c r="W164" i="4" s="1"/>
  <c r="X167" i="4"/>
  <c r="X166" i="4" s="1"/>
  <c r="X164" i="4" s="1"/>
  <c r="Y167" i="4"/>
  <c r="Y166" i="4" s="1"/>
  <c r="Y164" i="4" s="1"/>
  <c r="T172" i="4"/>
  <c r="U178" i="4"/>
  <c r="W178" i="4"/>
  <c r="X178" i="4"/>
  <c r="Y178" i="4"/>
  <c r="U184" i="4"/>
  <c r="W184" i="4"/>
  <c r="X184" i="4"/>
  <c r="Y184" i="4"/>
  <c r="T184" i="4"/>
  <c r="U190" i="4"/>
  <c r="W190" i="4"/>
  <c r="X190" i="4"/>
  <c r="Y190" i="4"/>
  <c r="Z172" i="4" l="1"/>
  <c r="Z168" i="4"/>
  <c r="T183" i="4"/>
  <c r="T145" i="4"/>
  <c r="T144" i="4"/>
  <c r="T111" i="4"/>
  <c r="T179" i="4"/>
  <c r="T178" i="4" l="1"/>
  <c r="T148" i="4"/>
  <c r="T53" i="4" l="1"/>
  <c r="T50" i="4"/>
  <c r="T77" i="4"/>
  <c r="T332" i="4"/>
  <c r="T124" i="4"/>
  <c r="T132" i="4"/>
  <c r="T138" i="4"/>
  <c r="T137" i="4"/>
  <c r="T126" i="4"/>
  <c r="V126" i="4"/>
  <c r="W126" i="4"/>
  <c r="X126" i="4"/>
  <c r="Y126" i="4"/>
  <c r="T134" i="4"/>
  <c r="T115" i="4"/>
  <c r="T114" i="4"/>
  <c r="T101" i="4" l="1"/>
  <c r="Z101" i="4" s="1"/>
  <c r="T100" i="4"/>
  <c r="Z100" i="4" s="1"/>
  <c r="Z115" i="4"/>
  <c r="T113" i="4"/>
  <c r="Z113" i="4" s="1"/>
  <c r="Z99" i="4" l="1"/>
  <c r="T99" i="4"/>
  <c r="T283" i="4" l="1"/>
  <c r="U140" i="4" l="1"/>
  <c r="V140" i="4"/>
  <c r="W140" i="4"/>
  <c r="X140" i="4"/>
  <c r="Y140" i="4"/>
  <c r="T140" i="4"/>
  <c r="Z151" i="4"/>
  <c r="T289" i="4" l="1"/>
  <c r="T288" i="4" s="1"/>
  <c r="T281" i="4" s="1"/>
  <c r="Z318" i="4" l="1"/>
  <c r="Z289" i="4"/>
  <c r="Z290" i="4"/>
  <c r="Z315" i="4" l="1"/>
  <c r="Z319" i="4"/>
  <c r="Z298" i="4" l="1"/>
  <c r="T90" i="4" l="1"/>
  <c r="Z109" i="4" l="1"/>
  <c r="Z110" i="4"/>
  <c r="Z111" i="4"/>
  <c r="Z112" i="4"/>
  <c r="Z114" i="4"/>
  <c r="Z78" i="4" l="1"/>
  <c r="Z77" i="4"/>
  <c r="T191" i="4"/>
  <c r="T190" i="4" l="1"/>
  <c r="T167" i="4"/>
  <c r="Z61" i="4"/>
  <c r="Z54" i="4"/>
  <c r="Z51" i="4"/>
  <c r="Z41" i="4"/>
  <c r="Z76" i="4"/>
  <c r="T166" i="4" l="1"/>
  <c r="T164" i="4" s="1"/>
  <c r="Z167" i="4"/>
  <c r="T189" i="4"/>
  <c r="T141" i="4"/>
  <c r="Z75" i="4" l="1"/>
  <c r="Z312" i="4" l="1"/>
  <c r="Z309" i="4"/>
  <c r="Z69" i="4" l="1"/>
  <c r="T34" i="4"/>
  <c r="T280" i="4" l="1"/>
  <c r="V280" i="4"/>
  <c r="Z296" i="4"/>
  <c r="Z288" i="4"/>
  <c r="Z283" i="4" l="1"/>
  <c r="U280" i="4"/>
  <c r="Z60" i="4"/>
  <c r="Z62" i="4"/>
  <c r="Z64" i="4"/>
  <c r="Z65" i="4"/>
  <c r="Z66" i="4"/>
  <c r="Z31" i="4" l="1"/>
  <c r="T325" i="4" l="1"/>
  <c r="Z34" i="4" l="1"/>
  <c r="Z40" i="4"/>
  <c r="Z43" i="4"/>
  <c r="Z50" i="4"/>
  <c r="Z52" i="4"/>
  <c r="Z95" i="4"/>
  <c r="Z123" i="4"/>
  <c r="U22" i="4" l="1"/>
  <c r="V33" i="4"/>
  <c r="V29" i="4" s="1"/>
  <c r="T33" i="4"/>
  <c r="T29" i="4" s="1"/>
  <c r="Z142" i="4" l="1"/>
  <c r="Z124" i="4" l="1"/>
  <c r="Y27" i="4" l="1"/>
  <c r="U25" i="4"/>
  <c r="V25" i="4"/>
  <c r="W25" i="4"/>
  <c r="X25" i="4"/>
  <c r="Y25" i="4"/>
  <c r="T25" i="4"/>
  <c r="W333" i="4"/>
  <c r="X333" i="4"/>
  <c r="Y333" i="4"/>
  <c r="Y90" i="4"/>
  <c r="Y23" i="4" s="1"/>
  <c r="T23" i="4"/>
  <c r="Y89" i="4"/>
  <c r="U139" i="4" l="1"/>
  <c r="U125" i="4" s="1"/>
  <c r="V139" i="4"/>
  <c r="V125" i="4" s="1"/>
  <c r="W139" i="4"/>
  <c r="W125" i="4" s="1"/>
  <c r="X139" i="4"/>
  <c r="X125" i="4" s="1"/>
  <c r="Y139" i="4"/>
  <c r="T139" i="4"/>
  <c r="T125" i="4" s="1"/>
  <c r="Y125" i="4" l="1"/>
  <c r="Z125" i="4" s="1"/>
  <c r="Y171" i="4"/>
  <c r="Y165" i="4" s="1"/>
  <c r="Y26" i="4" s="1"/>
  <c r="U126" i="4"/>
  <c r="U24" i="4" s="1"/>
  <c r="V24" i="4"/>
  <c r="W24" i="4"/>
  <c r="X24" i="4"/>
  <c r="Y24" i="4"/>
  <c r="Z24" i="4" s="1"/>
  <c r="Z126" i="4"/>
  <c r="T24" i="4"/>
  <c r="Z328" i="4"/>
  <c r="Z354" i="4"/>
  <c r="Z32" i="4"/>
  <c r="Z33" i="4"/>
  <c r="Z53" i="4"/>
  <c r="Z55" i="4"/>
  <c r="Z56" i="4"/>
  <c r="Z57" i="4"/>
  <c r="Z131" i="4"/>
  <c r="Z132" i="4"/>
  <c r="Z133" i="4"/>
  <c r="Z137" i="4"/>
  <c r="Z138" i="4"/>
  <c r="Z143" i="4"/>
  <c r="Z145" i="4"/>
  <c r="Z146" i="4"/>
  <c r="Z148" i="4"/>
  <c r="Z149" i="4"/>
  <c r="Z153" i="4"/>
  <c r="Z177" i="4"/>
  <c r="Z183" i="4"/>
  <c r="Z189" i="4"/>
  <c r="Z191" i="4"/>
  <c r="Z190" i="4" s="1"/>
  <c r="Z195" i="4"/>
  <c r="Z197" i="4"/>
  <c r="Z282" i="4"/>
  <c r="Z284" i="4"/>
  <c r="Z286" i="4"/>
  <c r="Z300" i="4"/>
  <c r="Z302" i="4"/>
  <c r="Z303" i="4"/>
  <c r="Z305" i="4"/>
  <c r="Z307" i="4"/>
  <c r="Z325" i="4"/>
  <c r="Z326" i="4"/>
  <c r="Z330" i="4"/>
  <c r="Z332" i="4"/>
  <c r="Z339" i="4"/>
  <c r="Z341" i="4"/>
  <c r="Z343" i="4"/>
  <c r="Z345" i="4"/>
  <c r="Z346" i="4"/>
  <c r="Z348" i="4"/>
  <c r="Z350" i="4"/>
  <c r="Z352" i="4"/>
  <c r="Z29" i="4" l="1"/>
  <c r="Y28" i="4"/>
  <c r="Y14" i="4" s="1"/>
  <c r="Z281" i="4"/>
  <c r="Z280" i="4" s="1"/>
  <c r="Z140" i="4"/>
  <c r="Z22" i="4" l="1"/>
  <c r="X90" i="4"/>
  <c r="X23" i="4" s="1"/>
  <c r="W90" i="4"/>
  <c r="W23" i="4" s="1"/>
  <c r="V90" i="4"/>
  <c r="V23" i="4" s="1"/>
  <c r="U90" i="4"/>
  <c r="U23" i="4" s="1"/>
  <c r="Z96" i="4" l="1"/>
  <c r="Z30" i="4" l="1"/>
  <c r="U333" i="4" l="1"/>
  <c r="T333" i="4"/>
  <c r="T89" i="4" l="1"/>
  <c r="T171" i="4"/>
  <c r="W171" i="4"/>
  <c r="W165" i="4" s="1"/>
  <c r="X171" i="4"/>
  <c r="X165" i="4" s="1"/>
  <c r="V333" i="4"/>
  <c r="Z171" i="4" l="1"/>
  <c r="Z335" i="4"/>
  <c r="Z336" i="4"/>
  <c r="Z179" i="4" l="1"/>
  <c r="Z178" i="4" s="1"/>
  <c r="U89" i="4"/>
  <c r="Z185" i="4"/>
  <c r="Z184" i="4" s="1"/>
  <c r="Z122" i="4"/>
  <c r="Z152" i="4"/>
  <c r="Z173" i="4"/>
  <c r="Z134" i="4"/>
  <c r="Z333" i="4" l="1"/>
  <c r="Z150" i="4"/>
  <c r="T28" i="4"/>
  <c r="Z144" i="4"/>
  <c r="Z147" i="4"/>
  <c r="Z92" i="4"/>
  <c r="Z141" i="4"/>
  <c r="W89" i="4"/>
  <c r="W28" i="4" s="1"/>
  <c r="T27" i="4"/>
  <c r="U27" i="4"/>
  <c r="V27" i="4"/>
  <c r="W27" i="4"/>
  <c r="X27" i="4"/>
  <c r="Z139" i="4" l="1"/>
  <c r="Z27" i="4"/>
  <c r="X89" i="4"/>
  <c r="A15" i="4"/>
  <c r="H15" i="4"/>
  <c r="I15" i="4"/>
  <c r="J15" i="4"/>
  <c r="K15" i="4"/>
  <c r="L15" i="4"/>
  <c r="Q15" i="4"/>
  <c r="A16" i="4"/>
  <c r="H16" i="4"/>
  <c r="I16" i="4"/>
  <c r="J16" i="4"/>
  <c r="K16" i="4"/>
  <c r="L16" i="4"/>
  <c r="Q16" i="4"/>
  <c r="A17" i="4"/>
  <c r="H17" i="4"/>
  <c r="I17" i="4"/>
  <c r="J17" i="4"/>
  <c r="K17" i="4"/>
  <c r="L17" i="4"/>
  <c r="Q17" i="4"/>
  <c r="A18" i="4"/>
  <c r="H18" i="4"/>
  <c r="I18" i="4"/>
  <c r="J18" i="4"/>
  <c r="K18" i="4"/>
  <c r="L18" i="4"/>
  <c r="Q18" i="4"/>
  <c r="A19" i="4"/>
  <c r="H19" i="4"/>
  <c r="I19" i="4"/>
  <c r="J19" i="4"/>
  <c r="K19" i="4"/>
  <c r="L19" i="4"/>
  <c r="Q19" i="4"/>
  <c r="A20" i="4"/>
  <c r="H20" i="4"/>
  <c r="I20" i="4"/>
  <c r="J20" i="4"/>
  <c r="K20" i="4"/>
  <c r="L20" i="4"/>
  <c r="Q20" i="4"/>
  <c r="Z89" i="4" l="1"/>
  <c r="T165" i="4"/>
  <c r="T26" i="4" s="1"/>
  <c r="U26" i="4"/>
  <c r="V26" i="4"/>
  <c r="W26" i="4"/>
  <c r="X26" i="4"/>
  <c r="Z26" i="4" l="1"/>
  <c r="Z23" i="4"/>
  <c r="Z90" i="4"/>
  <c r="Z165" i="4"/>
  <c r="Z25" i="4"/>
  <c r="T19" i="4" l="1"/>
  <c r="T15" i="4"/>
  <c r="T16" i="4"/>
  <c r="T17" i="4"/>
  <c r="T18" i="4"/>
  <c r="T20" i="4" l="1"/>
  <c r="W14" i="4"/>
  <c r="U16" i="4"/>
  <c r="V16" i="4" s="1"/>
  <c r="W16" i="4" s="1"/>
  <c r="X16" i="4" s="1"/>
  <c r="U18" i="4"/>
  <c r="V18" i="4" s="1"/>
  <c r="W18" i="4" s="1"/>
  <c r="X18" i="4" s="1"/>
  <c r="U15" i="4"/>
  <c r="V15" i="4" s="1"/>
  <c r="W15" i="4" s="1"/>
  <c r="X15" i="4" s="1"/>
  <c r="U17" i="4"/>
  <c r="V17" i="4" s="1"/>
  <c r="W17" i="4" s="1"/>
  <c r="X17" i="4" s="1"/>
  <c r="U19" i="4"/>
  <c r="V19" i="4" s="1"/>
  <c r="W19" i="4" s="1"/>
  <c r="X19" i="4" s="1"/>
  <c r="Z18" i="4" l="1"/>
  <c r="Z16" i="4"/>
  <c r="Z17" i="4"/>
  <c r="Z19" i="4"/>
  <c r="Z15" i="4"/>
  <c r="T14" i="4" l="1"/>
  <c r="U20" i="4" l="1"/>
  <c r="U28" i="4"/>
  <c r="U14" i="4" s="1"/>
  <c r="V20" i="4" l="1"/>
  <c r="W20" i="4" s="1"/>
  <c r="X20" i="4" s="1"/>
  <c r="Z20" i="4" l="1"/>
  <c r="X28" i="4"/>
  <c r="X14" i="4" s="1"/>
  <c r="Z166" i="4" l="1"/>
  <c r="V28" i="4"/>
  <c r="Z28" i="4" s="1"/>
  <c r="Z164" i="4" l="1"/>
  <c r="V14" i="4"/>
  <c r="Z14" i="4" s="1"/>
</calcChain>
</file>

<file path=xl/sharedStrings.xml><?xml version="1.0" encoding="utf-8"?>
<sst xmlns="http://schemas.openxmlformats.org/spreadsheetml/2006/main" count="3625" uniqueCount="246">
  <si>
    <t>раздел</t>
  </si>
  <si>
    <t>тыс. руб.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</si>
  <si>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</si>
  <si>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</si>
  <si>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</si>
  <si>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</si>
  <si>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</si>
  <si>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</si>
  <si>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Обеспечивающая подпрограмма</t>
  </si>
  <si>
    <t>шт.</t>
  </si>
  <si>
    <t>%</t>
  </si>
  <si>
    <t>км</t>
  </si>
  <si>
    <t>м</t>
  </si>
  <si>
    <t>ед.</t>
  </si>
  <si>
    <t>Целевое (суммарное) значение показателя</t>
  </si>
  <si>
    <t>значение</t>
  </si>
  <si>
    <t>Характеристика муниципальной программы города Твери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</si>
  <si>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</si>
  <si>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Единица измерения</t>
  </si>
  <si>
    <t>да/нет</t>
  </si>
  <si>
    <t>да</t>
  </si>
  <si>
    <t>кв. м</t>
  </si>
  <si>
    <t>Код бюджетной классификации</t>
  </si>
  <si>
    <t>0</t>
  </si>
  <si>
    <t>1</t>
  </si>
  <si>
    <t>2</t>
  </si>
  <si>
    <t>под-раздел</t>
  </si>
  <si>
    <t>Классификация целевой статьи расходов бюджета</t>
  </si>
  <si>
    <t>п. м</t>
  </si>
  <si>
    <t>Задача 1 
«Организация пассажирских перевозок городским общественным транспортом»</t>
  </si>
  <si>
    <t>5</t>
  </si>
  <si>
    <t>8</t>
  </si>
  <si>
    <t>9</t>
  </si>
  <si>
    <t>4</t>
  </si>
  <si>
    <t>3</t>
  </si>
  <si>
    <t>6</t>
  </si>
  <si>
    <t>Задача 3 
«Содержание автомобильных дорог общего пользования и искусственных сооружений на них»</t>
  </si>
  <si>
    <t>Задача 2 
«Капитальный и текущий ремонт автомобильных дорог общего пользования и искусственных сооружений на них»</t>
  </si>
  <si>
    <t>Задача 1 
«Строительство (реконструкция) автомобильных дорог общего пользования и искусственных сооружений на них»</t>
  </si>
  <si>
    <t>7</t>
  </si>
  <si>
    <t>Задача 4 
«Ремонт дворовых территорий многоквартирных домов, проездов к дворовым территориям многоквартирных домов»</t>
  </si>
  <si>
    <t>1. Обеспечение деятельности  ответственного исполнителя муниципальной программы - департамент благоустройства, дорожного хозяйства  и транспорта</t>
  </si>
  <si>
    <t>2. Административные мероприятия</t>
  </si>
  <si>
    <t>Муниципальная программа, всего</t>
  </si>
  <si>
    <t>«Дорожное хозяйство и общественный транспорт города Твери» на 2015-2020 годы</t>
  </si>
  <si>
    <t>да - 1
нет - 0</t>
  </si>
  <si>
    <t>Задача 2 
«Организация выдачи специальных разрешений и согласований на движение по автомобильным дорогам транспортного средства, осуществляющего перевозки опасных, тяжеловесных и (или) крупногабаритных грузов»</t>
  </si>
  <si>
    <r>
      <rPr>
        <b/>
        <sz val="11"/>
        <rFont val="Times New Roman"/>
        <family val="1"/>
        <charset val="204"/>
      </rPr>
      <t>Мероприятие 1.01</t>
    </r>
    <r>
      <rPr>
        <sz val="11"/>
        <rFont val="Times New Roman"/>
        <family val="1"/>
        <charset val="204"/>
      </rPr>
      <t xml:space="preserve"> 
«Строительство мостового перехода через реку Волга в г. Твери (Западный мост) (в т. ч. ПИР)»</t>
    </r>
  </si>
  <si>
    <r>
      <rPr>
        <b/>
        <sz val="11"/>
        <rFont val="Times New Roman"/>
        <family val="1"/>
        <charset val="204"/>
      </rPr>
      <t>Административное мероприятие 4.02</t>
    </r>
    <r>
      <rPr>
        <sz val="11"/>
        <rFont val="Times New Roman"/>
        <family val="1"/>
        <charset val="204"/>
      </rPr>
      <t xml:space="preserve"> 
«Организация и сбор заявок на ремонт дворовых территорий многоквартирных домов, проездов к дворовым территориям многоквартирных домов  в городе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</si>
  <si>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принятых заявок»</t>
    </r>
  </si>
  <si>
    <r>
      <rPr>
        <b/>
        <sz val="11"/>
        <rFont val="Times New Roman"/>
        <family val="1"/>
        <charset val="204"/>
      </rPr>
      <t>Мероприятие 1.03</t>
    </r>
    <r>
      <rPr>
        <sz val="11"/>
        <rFont val="Times New Roman"/>
        <family val="1"/>
        <charset val="204"/>
      </rPr>
      <t xml:space="preserve"> 
«Приобретение общественного транспорта для городских маршрутов»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</si>
  <si>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приобретенных троллейбусов»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</si>
  <si>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приобретенных автобусов»</t>
    </r>
  </si>
  <si>
    <t>Примечание: разработка проектной документации, технический надзор и другие виды надзора по мероприятиям осуществляются за счет средств, запланированных на реализацию этих мероприятий</t>
  </si>
  <si>
    <t>единиц</t>
  </si>
  <si>
    <t>штук</t>
  </si>
  <si>
    <t>год достижения</t>
  </si>
  <si>
    <r>
      <rPr>
        <b/>
        <sz val="11"/>
        <rFont val="Times New Roman"/>
        <family val="1"/>
        <charset val="204"/>
      </rPr>
      <t>Мероприятие 1.04</t>
    </r>
    <r>
      <rPr>
        <sz val="11"/>
        <rFont val="Times New Roman"/>
        <family val="1"/>
        <charset val="204"/>
      </rPr>
      <t xml:space="preserve"> 
«Строительство сетей ливневой канализации на ул. Орджоникидзе (от пл. Терешковой до ул. Склизкова) (в т. ч. ПИР)» </t>
    </r>
  </si>
  <si>
    <r>
      <rPr>
        <b/>
        <sz val="11"/>
        <rFont val="Times New Roman"/>
        <family val="1"/>
        <charset val="204"/>
      </rPr>
      <t xml:space="preserve">Мероприятие 1.12
</t>
    </r>
    <r>
      <rPr>
        <sz val="11"/>
        <rFont val="Times New Roman"/>
        <family val="1"/>
        <charset val="204"/>
      </rPr>
      <t>«Изготовление проектно-сметной документации на реконструкцию Московского шоссе (въезд в город)»</t>
    </r>
  </si>
  <si>
    <t>тысяч руб.</t>
  </si>
  <si>
    <t>тысяч кв. м</t>
  </si>
  <si>
    <t>тысяч чел.</t>
  </si>
  <si>
    <t>Годы реализации программы</t>
  </si>
  <si>
    <r>
      <rPr>
        <b/>
        <sz val="11"/>
        <rFont val="Times New Roman"/>
        <family val="1"/>
        <charset val="204"/>
      </rPr>
      <t xml:space="preserve">Мероприятие 1.11
</t>
    </r>
    <r>
      <rPr>
        <sz val="11"/>
        <rFont val="Times New Roman"/>
        <family val="1"/>
        <charset val="204"/>
      </rPr>
      <t>«Строительство ливневой канализации по пер. Трудолюбия (в т. ч. ПИР)»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</si>
  <si>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</si>
  <si>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t xml:space="preserve">Показатель 1 
</t>
    </r>
    <r>
      <rPr>
        <sz val="11"/>
        <rFont val="Times New Roman"/>
        <family val="1"/>
        <charset val="204"/>
      </rPr>
      <t>«Количество проведенных обследований путепровода»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</si>
  <si>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«Протяженность построенных (реконструированных) сетей ливневой канализации»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</si>
  <si>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</si>
  <si>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 xml:space="preserve">Мероприятие 1.13
</t>
    </r>
    <r>
      <rPr>
        <sz val="11"/>
        <rFont val="Times New Roman"/>
        <family val="1"/>
        <charset val="204"/>
      </rPr>
      <t>«Застройка микрорайона по ул. Луначарского в г. Твери (транспортная инфраструктура)»</t>
    </r>
  </si>
  <si>
    <r>
      <t xml:space="preserve">Показатель 1 
</t>
    </r>
    <r>
      <rPr>
        <sz val="11"/>
        <rFont val="Times New Roman"/>
        <family val="1"/>
        <charset val="204"/>
      </rPr>
      <t>«Количество проведенных пуско-наладочных работ»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</si>
  <si>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приобретенных трамваев»</t>
    </r>
  </si>
  <si>
    <r>
      <rPr>
        <b/>
        <sz val="11"/>
        <rFont val="Times New Roman"/>
        <family val="1"/>
        <charset val="204"/>
      </rPr>
      <t>Мероприятие 1.09</t>
    </r>
    <r>
      <rPr>
        <sz val="11"/>
        <rFont val="Times New Roman"/>
        <family val="1"/>
        <charset val="204"/>
      </rPr>
      <t xml:space="preserve"> 
«Ремонт и демонтаж трамвайных путей»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</si>
  <si>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«Протяженность ремонта трамвайных путей»</t>
    </r>
  </si>
  <si>
    <t>тысяч метров одиночного пути</t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</si>
  <si>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«Протяженность демонтажа трамвайных путей»</t>
    </r>
  </si>
  <si>
    <t>тысяч м3</t>
  </si>
  <si>
    <r>
      <rPr>
        <b/>
        <sz val="11"/>
        <rFont val="Times New Roman"/>
        <family val="1"/>
        <charset val="204"/>
      </rPr>
      <t>Мероприятие 1.08</t>
    </r>
    <r>
      <rPr>
        <sz val="11"/>
        <rFont val="Times New Roman"/>
        <family val="1"/>
        <charset val="204"/>
      </rPr>
      <t xml:space="preserve"> 
«Приобретение общественного транспорта для городских маршрутов (по договорам лизинга)»</t>
    </r>
  </si>
  <si>
    <r>
      <rPr>
        <b/>
        <sz val="11"/>
        <rFont val="Times New Roman"/>
        <family val="1"/>
        <charset val="204"/>
      </rPr>
      <t xml:space="preserve">Показатель 1
</t>
    </r>
    <r>
      <rPr>
        <sz val="11"/>
        <rFont val="Times New Roman"/>
        <family val="1"/>
        <charset val="204"/>
      </rPr>
      <t>«Количество приобретенных трамваев»</t>
    </r>
  </si>
  <si>
    <r>
      <t xml:space="preserve">Цель 
 </t>
    </r>
    <r>
      <rPr>
        <sz val="11"/>
        <rFont val="Times New Roman"/>
        <family val="1"/>
        <charset val="204"/>
      </rPr>
      <t>«Создание условий для устойчивого функционирования транспортной системы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</si>
  <si>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«Общая площадь строительства (реконструкции) объектов улично-дорожной сети города»</t>
    </r>
  </si>
  <si>
    <r>
      <rPr>
        <b/>
        <sz val="11"/>
        <rFont val="Times New Roman"/>
        <family val="1"/>
        <charset val="204"/>
      </rPr>
      <t xml:space="preserve">Показатель 2
</t>
    </r>
    <r>
      <rPr>
        <sz val="11"/>
        <rFont val="Times New Roman"/>
        <family val="1"/>
        <charset val="204"/>
      </rPr>
      <t>«Общая площадь ремонта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</si>
  <si>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«Общая площадь содержания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</si>
  <si>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«Количество объектов (дорожных знаков), установленных на улично-дорожной сети, направленных на обеспечение безопасности дорожного движения на территории города»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</si>
  <si>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</si>
  <si>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1"/>
        <rFont val="Times New Roman"/>
        <family val="1"/>
        <charset val="204"/>
      </rPr>
      <t>Показатель 6</t>
    </r>
    <r>
      <rPr>
        <sz val="11"/>
        <rFont val="Times New Roman"/>
        <family val="1"/>
        <charset val="204"/>
      </rPr>
      <t xml:space="preserve">
«Объем перевозок на муниципальном общественном транспорте»</t>
    </r>
  </si>
  <si>
    <r>
      <t>Подпрограмма 1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«Дорожное хозяйство»</t>
    </r>
  </si>
  <si>
    <r>
      <t xml:space="preserve">Показатель 1 
</t>
    </r>
    <r>
      <rPr>
        <sz val="11"/>
        <rFont val="Times New Roman"/>
        <family val="1"/>
        <charset val="204"/>
      </rPr>
      <t>«Общая протяженность построенных (реконструированных) дорог»</t>
    </r>
  </si>
  <si>
    <r>
      <t xml:space="preserve">Показатель 2 
</t>
    </r>
    <r>
      <rPr>
        <sz val="11"/>
        <rFont val="Times New Roman"/>
        <family val="1"/>
        <charset val="204"/>
      </rPr>
      <t>«Общая площадь построенных (реконструированных) дорог»</t>
    </r>
  </si>
  <si>
    <r>
      <t xml:space="preserve">Показатель 3 
</t>
    </r>
    <r>
      <rPr>
        <sz val="11"/>
        <rFont val="Times New Roman"/>
        <family val="1"/>
        <charset val="204"/>
      </rPr>
      <t>«Общая протяженность построенных (реконструированных) сетей ливневой канализации»</t>
    </r>
  </si>
  <si>
    <r>
      <t xml:space="preserve">Показатель 1 
</t>
    </r>
    <r>
      <rPr>
        <sz val="11"/>
        <rFont val="Times New Roman"/>
        <family val="1"/>
        <charset val="204"/>
      </rPr>
      <t>«Протяженность построенных (реконструированных) дорог»</t>
    </r>
  </si>
  <si>
    <r>
      <rPr>
        <b/>
        <sz val="11"/>
        <rFont val="Times New Roman"/>
        <family val="1"/>
        <charset val="204"/>
      </rPr>
      <t>Мероприятие 1.02
«</t>
    </r>
    <r>
      <rPr>
        <sz val="11"/>
        <rFont val="Times New Roman"/>
        <family val="1"/>
        <charset val="204"/>
      </rPr>
      <t>Реконструкция автодороги по ул. Оснабрюкская от Волоколамского шоссе до п. Мамулино в г. Твери (в т. ч. ПИР)»</t>
    </r>
  </si>
  <si>
    <r>
      <rPr>
        <b/>
        <sz val="11"/>
        <rFont val="Times New Roman"/>
        <family val="1"/>
        <charset val="204"/>
      </rPr>
      <t>Мероприятие 1.03
«</t>
    </r>
    <r>
      <rPr>
        <sz val="11"/>
        <rFont val="Times New Roman"/>
        <family val="1"/>
        <charset val="204"/>
      </rPr>
      <t>Строительство автодороги по ул. Луначарского на участке от пл. Конституции до ул. 2-я Красина в г. Твери (в т. ч. ПИР)»</t>
    </r>
  </si>
  <si>
    <r>
      <rPr>
        <b/>
        <sz val="11"/>
        <rFont val="Times New Roman"/>
        <family val="1"/>
        <charset val="204"/>
      </rPr>
      <t>Мероприятие 1.05</t>
    </r>
    <r>
      <rPr>
        <sz val="11"/>
        <rFont val="Times New Roman"/>
        <family val="1"/>
        <charset val="204"/>
      </rPr>
      <t xml:space="preserve"> 
«Строительство дождеприемных колодцев у дома № 14 по проспекту Победы (в т. ч. ПИР)» </t>
    </r>
  </si>
  <si>
    <r>
      <rPr>
        <b/>
        <sz val="11"/>
        <rFont val="Times New Roman"/>
        <family val="1"/>
        <charset val="204"/>
      </rPr>
      <t>Мероприятие 1.06</t>
    </r>
    <r>
      <rPr>
        <sz val="11"/>
        <rFont val="Times New Roman"/>
        <family val="1"/>
        <charset val="204"/>
      </rPr>
      <t xml:space="preserve"> 
«Автодорога по ул. С. Тюленина от ул. Красина до ул. Плеханова (в т.ч. ПИР)»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</si>
  <si>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«Протяженность построенных (реконструированных) сетей ливневой канализации»</t>
    </r>
  </si>
  <si>
    <r>
      <rPr>
        <b/>
        <sz val="11"/>
        <rFont val="Times New Roman"/>
        <family val="1"/>
        <charset val="204"/>
      </rPr>
      <t>Мероприятие 1.07</t>
    </r>
    <r>
      <rPr>
        <sz val="11"/>
        <rFont val="Times New Roman"/>
        <family val="1"/>
        <charset val="204"/>
      </rPr>
      <t xml:space="preserve"> 
«Строительство ливневой канализации с перекачивающей насосной станцией по ул. Республиканская (в т. ч. ПИР)»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</si>
  <si>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построенных ливневых канализаций с перекачивающей насосной станцией»</t>
    </r>
  </si>
  <si>
    <r>
      <rPr>
        <b/>
        <sz val="11"/>
        <rFont val="Times New Roman"/>
        <family val="1"/>
        <charset val="204"/>
      </rPr>
      <t xml:space="preserve">Мероприятие 1.08
</t>
    </r>
    <r>
      <rPr>
        <sz val="11"/>
        <rFont val="Times New Roman"/>
        <family val="1"/>
        <charset val="204"/>
      </rPr>
      <t>«Автодорога по ул. Бортниковская (в т. ч. ПИР)»</t>
    </r>
  </si>
  <si>
    <r>
      <t xml:space="preserve">Показатель 2 
</t>
    </r>
    <r>
      <rPr>
        <sz val="11"/>
        <rFont val="Times New Roman"/>
        <family val="1"/>
        <charset val="204"/>
      </rPr>
      <t>«Протяженность построенных (реконструированных) дорог»</t>
    </r>
  </si>
  <si>
    <r>
      <t xml:space="preserve">Показатель 3 
</t>
    </r>
    <r>
      <rPr>
        <sz val="11"/>
        <rFont val="Times New Roman"/>
        <family val="1"/>
        <charset val="204"/>
      </rPr>
      <t>«Общая площадь построенных (реконструированных) дорог»</t>
    </r>
  </si>
  <si>
    <r>
      <rPr>
        <b/>
        <sz val="11"/>
        <rFont val="Times New Roman"/>
        <family val="1"/>
        <charset val="204"/>
      </rPr>
      <t>Мероприятие 1.09</t>
    </r>
    <r>
      <rPr>
        <sz val="11"/>
        <rFont val="Times New Roman"/>
        <family val="1"/>
        <charset val="204"/>
      </rPr>
      <t xml:space="preserve">
«Автодорога по ул. Псковская (Оснабрюкская) от Октябрьского пр-та до Волоколамского шоссе»</t>
    </r>
  </si>
  <si>
    <r>
      <rPr>
        <b/>
        <sz val="11"/>
        <rFont val="Times New Roman"/>
        <family val="1"/>
        <charset val="204"/>
      </rPr>
      <t xml:space="preserve">Мероприятие 1.10
</t>
    </r>
    <r>
      <rPr>
        <sz val="11"/>
        <rFont val="Times New Roman"/>
        <family val="1"/>
        <charset val="204"/>
      </rPr>
      <t>«Изготовление проектно-сметной документации по реконструкции дороги - продолжение ул. Оснабрюкской до пересечения с объездной дорогой вокруг г. Твери, согласно генеральному плану города Твери»</t>
    </r>
  </si>
  <si>
    <r>
      <t xml:space="preserve">Показатель 1
</t>
    </r>
    <r>
      <rPr>
        <sz val="11"/>
        <rFont val="Times New Roman"/>
        <family val="1"/>
        <charset val="204"/>
      </rPr>
      <t>«Общая площадь отремонтированных автомобильных дорог и искусственных сооружений на них»</t>
    </r>
  </si>
  <si>
    <r>
      <rPr>
        <b/>
        <sz val="11"/>
        <rFont val="Times New Roman"/>
        <family val="1"/>
        <charset val="204"/>
      </rPr>
      <t>Мероприятие 2.01</t>
    </r>
    <r>
      <rPr>
        <sz val="11"/>
        <rFont val="Times New Roman"/>
        <family val="1"/>
        <charset val="204"/>
      </rPr>
      <t xml:space="preserve"> 
«Капитальный ремонт автомобильных  дорог города, включая тротуары»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</si>
  <si>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проектов ПСД на капитальный ремонт объектов УДС»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</si>
  <si>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капитального ремонта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</si>
  <si>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>Мероприятие 2.02</t>
    </r>
    <r>
      <rPr>
        <sz val="11"/>
        <rFont val="Times New Roman"/>
        <family val="1"/>
        <charset val="204"/>
      </rPr>
      <t xml:space="preserve"> 
«Текущий ремонт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</si>
  <si>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</si>
  <si>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Заволжского района,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</si>
  <si>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Пролетарского района,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</si>
  <si>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4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</si>
  <si>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«Количество отремонтированных искусственных сооружений»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</si>
  <si>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содержания автомобильных дорог города и искусственных сооружений на них»</t>
    </r>
  </si>
  <si>
    <r>
      <rPr>
        <b/>
        <sz val="11"/>
        <rFont val="Times New Roman"/>
        <family val="1"/>
        <charset val="204"/>
      </rPr>
      <t>Мероприятие 3.01</t>
    </r>
    <r>
      <rPr>
        <sz val="11"/>
        <rFont val="Times New Roman"/>
        <family val="1"/>
        <charset val="204"/>
      </rPr>
      <t xml:space="preserve"> 
«Содержание автомобильных дорог общего пользования и искусственных сооружений на них»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</si>
  <si>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содержания автомобильных дорог и искусственных сооружений на них»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</si>
  <si>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разработанных схем организации дорожного движения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</si>
  <si>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установленных (замененных) дорожных знаков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</si>
  <si>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«Площадь нанесенной дорожной разметки на автомобильных дорогах города»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</si>
  <si>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модернизированных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</si>
  <si>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установленных новых светофорных объектов»</t>
    </r>
  </si>
  <si>
    <r>
      <t xml:space="preserve">Мероприятие 3.03 
</t>
    </r>
    <r>
      <rPr>
        <sz val="11"/>
        <rFont val="Times New Roman"/>
        <family val="1"/>
        <charset val="204"/>
      </rPr>
      <t>«Проведение противопаводковых мероприятий и содержание сетей ливневой канализации»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</si>
  <si>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«Прочистка водоотводных канав на территории города»</t>
    </r>
  </si>
  <si>
    <r>
      <rPr>
        <b/>
        <sz val="11"/>
        <rFont val="Times New Roman"/>
        <family val="1"/>
        <charset val="204"/>
      </rPr>
      <t>Мероприятие 3.03</t>
    </r>
    <r>
      <rPr>
        <sz val="11"/>
        <rFont val="Times New Roman"/>
        <family val="1"/>
        <charset val="204"/>
      </rPr>
      <t xml:space="preserve"> 
«Проведение противопаводковых мероприятий и содержание сетей ливневой канализации»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</si>
  <si>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«Прочистка водоотводных канав на территории Заволжского района»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</si>
  <si>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«Замена водопропускных труб на территории Заволжского района»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</si>
  <si>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«Прочистка водоотводных канав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</si>
  <si>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«Промывка водопропускных труб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</si>
  <si>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6</t>
    </r>
    <r>
      <rPr>
        <sz val="11"/>
        <rFont val="Times New Roman"/>
        <family val="1"/>
        <charset val="204"/>
      </rPr>
      <t xml:space="preserve">
«Прочистка водоотводных канав на территории Московского района»</t>
    </r>
  </si>
  <si>
    <r>
      <rPr>
        <b/>
        <sz val="11"/>
        <rFont val="Times New Roman"/>
        <family val="1"/>
        <charset val="204"/>
      </rPr>
      <t>Показатель 7</t>
    </r>
    <r>
      <rPr>
        <sz val="11"/>
        <rFont val="Times New Roman"/>
        <family val="1"/>
        <charset val="204"/>
      </rPr>
      <t xml:space="preserve">
«Промывка водопропускных труб на территории Московского района»</t>
    </r>
  </si>
  <si>
    <r>
      <rPr>
        <b/>
        <sz val="11"/>
        <rFont val="Times New Roman"/>
        <family val="1"/>
        <charset val="204"/>
      </rPr>
      <t>Показатель 8</t>
    </r>
    <r>
      <rPr>
        <sz val="11"/>
        <rFont val="Times New Roman"/>
        <family val="1"/>
        <charset val="204"/>
      </rPr>
      <t xml:space="preserve">
«Водоотведение поверхностных сточных вод с территории улично-дорожной сети города Твери»</t>
    </r>
  </si>
  <si>
    <r>
      <rPr>
        <b/>
        <sz val="11"/>
        <rFont val="Times New Roman"/>
        <family val="1"/>
        <charset val="204"/>
      </rPr>
      <t>Мероприятие 3.04</t>
    </r>
    <r>
      <rPr>
        <sz val="11"/>
        <rFont val="Times New Roman"/>
        <family val="1"/>
        <charset val="204"/>
      </rPr>
      <t xml:space="preserve"> 
«Уплата ответственным исполнителем прочих налогов, сборов и иных обязательных платежей (штрафы по постановлениям мировых судей)»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</si>
  <si>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оплаченных штрафов по постановлениям мировых судей»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</si>
  <si>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отремонтированных дворовых территорий многоквартирных домов, проездов к дворовым территориям многоквартирных домов»</t>
    </r>
  </si>
  <si>
    <r>
      <rPr>
        <b/>
        <sz val="11"/>
        <rFont val="Times New Roman"/>
        <family val="1"/>
        <charset val="204"/>
      </rPr>
      <t>Мероприятие 4.01</t>
    </r>
    <r>
      <rPr>
        <sz val="11"/>
        <rFont val="Times New Roman"/>
        <family val="1"/>
        <charset val="204"/>
      </rPr>
      <t xml:space="preserve"> 
«Ремонт асфальтобетонного покрытия дворовых территорий многоквартирных домов, проездов к дворовым территориям многоквартирных домов  в городе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</si>
  <si>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</si>
  <si>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Заволжского района»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</si>
  <si>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</si>
  <si>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Московского района»</t>
    </r>
  </si>
  <si>
    <r>
      <rPr>
        <b/>
        <sz val="11"/>
        <rFont val="Times New Roman"/>
        <family val="1"/>
        <charset val="204"/>
      </rPr>
      <t xml:space="preserve">Показатель 5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Центрального района»</t>
    </r>
  </si>
  <si>
    <r>
      <t>Подпрограмма 2</t>
    </r>
    <r>
      <rPr>
        <sz val="11"/>
        <rFont val="Times New Roman"/>
        <family val="1"/>
        <charset val="204"/>
      </rPr>
      <t xml:space="preserve"> «</t>
    </r>
    <r>
      <rPr>
        <b/>
        <sz val="11"/>
        <rFont val="Times New Roman"/>
        <family val="1"/>
        <charset val="204"/>
      </rPr>
      <t xml:space="preserve">Общественный транспорт»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</si>
  <si>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перевезенных пассажиров муниципальным пассажирским транспортом»</t>
    </r>
  </si>
  <si>
    <r>
      <rPr>
        <b/>
        <sz val="11"/>
        <rFont val="Times New Roman"/>
        <family val="1"/>
        <charset val="204"/>
      </rPr>
      <t>Мероприятие 1.01</t>
    </r>
    <r>
      <rPr>
        <sz val="11"/>
        <rFont val="Times New Roman"/>
        <family val="1"/>
        <charset val="204"/>
      </rPr>
      <t xml:space="preserve"> 
«Предоставление субсидий юридическим лицам, оказывающим услуги по перевозке пассажиров электротранспортом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</si>
  <si>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«Степень выполнения мероприятия»</t>
    </r>
  </si>
  <si>
    <r>
      <rPr>
        <b/>
        <sz val="11"/>
        <rFont val="Times New Roman"/>
        <family val="1"/>
        <charset val="204"/>
      </rPr>
      <t xml:space="preserve">Мероприятие 1.02
</t>
    </r>
    <r>
      <rPr>
        <sz val="11"/>
        <rFont val="Times New Roman"/>
        <family val="1"/>
        <charset val="204"/>
      </rPr>
      <t xml:space="preserve"> «Предоставление субсидий юридическим лицам, оказывающим услуги по перевозке пассажиров на регулярных автобусных маршрутах города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</si>
  <si>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</si>
  <si>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1"/>
        <rFont val="Times New Roman"/>
        <family val="1"/>
        <charset val="204"/>
      </rPr>
      <t xml:space="preserve">Административное мероприятие 1.04 
</t>
    </r>
    <r>
      <rPr>
        <sz val="11"/>
        <rFont val="Times New Roman"/>
        <family val="1"/>
        <charset val="204"/>
      </rPr>
      <t>«Подготовка постановлений по открытию, изменению и закрытию движения транспорта»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</si>
  <si>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изданных нормативно-правовых актов»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</si>
  <si>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проведенных проверок по соблюдению действующего расписания на городских коммерческих маршрутах»</t>
    </r>
  </si>
  <si>
    <r>
      <rPr>
        <b/>
        <sz val="11"/>
        <rFont val="Times New Roman"/>
        <family val="1"/>
        <charset val="204"/>
      </rPr>
      <t>Административное мероприятие 1.06</t>
    </r>
    <r>
      <rPr>
        <sz val="11"/>
        <rFont val="Times New Roman"/>
        <family val="1"/>
        <charset val="204"/>
      </rPr>
      <t xml:space="preserve"> 
«Участие в работе комиссии по аттестации руководителей, сотрудников автотранспортных предприятий, УГАДН»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</si>
  <si>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проведенных заседаний комиссии»</t>
    </r>
  </si>
  <si>
    <r>
      <rPr>
        <b/>
        <sz val="11"/>
        <rFont val="Times New Roman"/>
        <family val="1"/>
        <charset val="204"/>
      </rPr>
      <t>Административное мероприятие 1.07</t>
    </r>
    <r>
      <rPr>
        <sz val="11"/>
        <rFont val="Times New Roman"/>
        <family val="1"/>
        <charset val="204"/>
      </rPr>
      <t xml:space="preserve"> 
«Участие в операции «Автобус» совместно с ГИБДД»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</si>
  <si>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проведенных проверок»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</si>
  <si>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</si>
  <si>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выданных разрешений»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</si>
  <si>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 
«Полученный доход в бюджет города от выдачи специальных разрешений»</t>
    </r>
  </si>
  <si>
    <r>
      <rPr>
        <b/>
        <sz val="11"/>
        <rFont val="Times New Roman"/>
        <family val="1"/>
        <charset val="204"/>
      </rPr>
      <t>1.01</t>
    </r>
    <r>
      <rPr>
        <sz val="11"/>
        <rFont val="Times New Roman"/>
        <family val="1"/>
        <charset val="204"/>
      </rPr>
      <t xml:space="preserve"> «Руководство и управление в сфере установленных функций»</t>
    </r>
  </si>
  <si>
    <r>
      <rPr>
        <b/>
        <sz val="11"/>
        <rFont val="Times New Roman"/>
        <family val="1"/>
        <charset val="204"/>
      </rPr>
      <t xml:space="preserve">1.02 </t>
    </r>
    <r>
      <rPr>
        <sz val="11"/>
        <rFont val="Times New Roman"/>
        <family val="1"/>
        <charset val="204"/>
      </rPr>
      <t>«Осуществление органами местного самоуправления (ответственным исполнителем) государственных полномочий Тверской области по организации транспортного обслуживания населения автомобильным транспортом в межмуниципальном и пригородном сообщении Тверской области (межбюджетные трансферты)»</t>
    </r>
  </si>
  <si>
    <r>
      <rPr>
        <b/>
        <sz val="11"/>
        <rFont val="Times New Roman"/>
        <family val="1"/>
        <charset val="204"/>
      </rPr>
      <t>Административное мероприятие 2.01</t>
    </r>
    <r>
      <rPr>
        <sz val="11"/>
        <rFont val="Times New Roman"/>
        <family val="1"/>
        <charset val="204"/>
      </rPr>
      <t xml:space="preserve"> 
«Выдача разрешений на право производства земляных работ»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</si>
  <si>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выданных разрешений на право производства земляных работ»</t>
    </r>
  </si>
  <si>
    <r>
      <rPr>
        <b/>
        <sz val="11"/>
        <rFont val="Times New Roman"/>
        <family val="1"/>
        <charset val="204"/>
      </rPr>
      <t>Административное мероприятие 2.02</t>
    </r>
    <r>
      <rPr>
        <sz val="11"/>
        <rFont val="Times New Roman"/>
        <family val="1"/>
        <charset val="204"/>
      </rPr>
      <t xml:space="preserve"> 
«Разработка проектов нормативных правовых актов администрации города Твери по вопросам, относящимся к сфере ведения ответственного исполнителя»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</si>
  <si>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разработанных проектов нормативных правовых актов администрации города Твери по вопросам, относящимся к сфере ведения ответственного исполнителя»</t>
    </r>
  </si>
  <si>
    <r>
      <rPr>
        <b/>
        <sz val="11"/>
        <rFont val="Times New Roman"/>
        <family val="1"/>
        <charset val="204"/>
      </rPr>
      <t>Административное мероприятие 2.03</t>
    </r>
    <r>
      <rPr>
        <sz val="11"/>
        <rFont val="Times New Roman"/>
        <family val="1"/>
        <charset val="204"/>
      </rPr>
      <t xml:space="preserve"> 
«Подготовка конкурсной документации и проведение конкурсных процедур в рамках действующего законодательства»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</si>
  <si>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проведенных торгов на право заключения муниципальных контрактов»</t>
    </r>
  </si>
  <si>
    <r>
      <rPr>
        <b/>
        <sz val="11"/>
        <rFont val="Times New Roman"/>
        <family val="1"/>
        <charset val="204"/>
      </rPr>
      <t>Административное мероприятие 2.04</t>
    </r>
    <r>
      <rPr>
        <sz val="11"/>
        <rFont val="Times New Roman"/>
        <family val="1"/>
        <charset val="204"/>
      </rPr>
      <t xml:space="preserve"> 
«Организация и ведение бухгалтерского учета»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</si>
  <si>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отчетов, представляемых департаментом в налоговые органы, во внебюджетные фонды, Росприроднадзор, Тверьстат и департамент финансов администрации города Твери»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</si>
  <si>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«Доля исполненных муниципальных контрактов (договоров) в общем количестве заключенных муниципальных контрактов (договоров)»</t>
    </r>
  </si>
  <si>
    <r>
      <rPr>
        <b/>
        <sz val="11"/>
        <rFont val="Times New Roman"/>
        <family val="1"/>
        <charset val="204"/>
      </rPr>
      <t>Административное мероприятие 2.05</t>
    </r>
    <r>
      <rPr>
        <sz val="11"/>
        <rFont val="Times New Roman"/>
        <family val="1"/>
        <charset val="204"/>
      </rPr>
      <t xml:space="preserve"> 
«Обеспечение бесперебойной работы используемой департаментом вычислительной и оргтехники»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</si>
  <si>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проведенных профилактических мероприятий и ремонтов»</t>
    </r>
  </si>
  <si>
    <r>
      <rPr>
        <b/>
        <sz val="11"/>
        <rFont val="Times New Roman"/>
        <family val="1"/>
        <charset val="204"/>
      </rPr>
      <t>Административное мероприятие 2.06</t>
    </r>
    <r>
      <rPr>
        <sz val="11"/>
        <rFont val="Times New Roman"/>
        <family val="1"/>
        <charset val="204"/>
      </rPr>
      <t xml:space="preserve"> 
«Проведение плановых проверок в подведомственном казенном учреждении»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</si>
  <si>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проведенных проверок»</t>
    </r>
  </si>
  <si>
    <r>
      <rPr>
        <b/>
        <sz val="11"/>
        <rFont val="Times New Roman"/>
        <family val="1"/>
        <charset val="204"/>
      </rPr>
      <t>Административное мероприятие 2.07</t>
    </r>
    <r>
      <rPr>
        <sz val="11"/>
        <rFont val="Times New Roman"/>
        <family val="1"/>
        <charset val="204"/>
      </rPr>
      <t xml:space="preserve"> 
«Организация и проведение заседаний по определению эффективности деятельности муниципальных предприятий»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</si>
  <si>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проведенных заседаний комиссий»</t>
    </r>
  </si>
  <si>
    <r>
      <rPr>
        <b/>
        <sz val="11"/>
        <rFont val="Times New Roman"/>
        <family val="1"/>
        <charset val="204"/>
      </rPr>
      <t>Административное мероприятие 2.08</t>
    </r>
    <r>
      <rPr>
        <sz val="11"/>
        <rFont val="Times New Roman"/>
        <family val="1"/>
        <charset val="204"/>
      </rPr>
      <t xml:space="preserve"> 
«Обеспечение работы городской комиссии по безопасности дорожного движения»</t>
    </r>
  </si>
  <si>
    <t>код исполнителя программы</t>
  </si>
  <si>
    <r>
      <rPr>
        <b/>
        <sz val="11"/>
        <rFont val="Times New Roman"/>
        <family val="1"/>
        <charset val="204"/>
      </rPr>
      <t>Мероприятие 3.02</t>
    </r>
    <r>
      <rPr>
        <sz val="11"/>
        <rFont val="Times New Roman"/>
        <family val="1"/>
        <charset val="204"/>
      </rPr>
      <t xml:space="preserve"> 
«Модернизация и установка новых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</si>
  <si>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«Общее количество приобретенного подвижного транспорта »</t>
    </r>
  </si>
  <si>
    <r>
      <rPr>
        <b/>
        <sz val="11"/>
        <rFont val="Times New Roman"/>
        <family val="1"/>
        <charset val="204"/>
      </rPr>
      <t>Мероприятие 1.10</t>
    </r>
    <r>
      <rPr>
        <sz val="11"/>
        <rFont val="Times New Roman"/>
        <family val="1"/>
        <charset val="204"/>
      </rPr>
      <t xml:space="preserve"> 
«Предоставление субсидий юридическим лицам, оказывающим услуги регулярных перевозок по муниципальным маршрутам регулярных перевозок транспортом общего пользования на территории города Твери по регулируемым тарифам»</t>
    </r>
  </si>
  <si>
    <t>тысяч кв.м</t>
  </si>
  <si>
    <t>П</t>
  </si>
  <si>
    <r>
      <t xml:space="preserve">Показатель 2
</t>
    </r>
    <r>
      <rPr>
        <sz val="11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</si>
  <si>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t>S</t>
  </si>
  <si>
    <t>H</t>
  </si>
  <si>
    <r>
      <rPr>
        <b/>
        <sz val="11"/>
        <rFont val="Times New Roman"/>
        <family val="1"/>
        <charset val="204"/>
      </rPr>
      <t>Мероприятие 4.03</t>
    </r>
    <r>
      <rPr>
        <sz val="11"/>
        <rFont val="Times New Roman"/>
        <family val="1"/>
        <charset val="204"/>
      </rPr>
      <t xml:space="preserve"> 
«Ремонт дворовой территории многоквартирного дома по адресу: Волоколамский проспект, дом 3 в городе Тверь»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</si>
  <si>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отремонтированной дворовой территории»</t>
    </r>
  </si>
  <si>
    <r>
      <rPr>
        <b/>
        <sz val="11"/>
        <rFont val="Times New Roman"/>
        <family val="1"/>
        <charset val="204"/>
      </rPr>
      <t>Мероприятие 4.04</t>
    </r>
    <r>
      <rPr>
        <sz val="11"/>
        <rFont val="Times New Roman"/>
        <family val="1"/>
        <charset val="204"/>
      </rPr>
      <t xml:space="preserve"> 
«Расширение парковочного кармана по адресу: г. Тверь, пос. Химинститута, д.10»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</si>
  <si>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парковочного кармана»</t>
    </r>
  </si>
  <si>
    <r>
      <rPr>
        <b/>
        <sz val="11"/>
        <rFont val="Times New Roman"/>
        <family val="1"/>
        <charset val="204"/>
      </rPr>
      <t>Мероприятие 4.05</t>
    </r>
    <r>
      <rPr>
        <sz val="11"/>
        <rFont val="Times New Roman"/>
        <family val="1"/>
        <charset val="204"/>
      </rPr>
      <t xml:space="preserve"> 
«Устройство парковочных мест у жилого дома № 7 по пер. Смоленский г. Твери»</t>
    </r>
  </si>
  <si>
    <t xml:space="preserve"> кв. м</t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</si>
  <si>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парковочных мест»</t>
    </r>
  </si>
  <si>
    <t xml:space="preserve"> </t>
  </si>
  <si>
    <r>
      <rPr>
        <b/>
        <sz val="11"/>
        <rFont val="Times New Roman"/>
        <family val="1"/>
        <charset val="204"/>
      </rPr>
      <t>Мероприятие 3.05</t>
    </r>
    <r>
      <rPr>
        <sz val="11"/>
        <rFont val="Times New Roman"/>
        <family val="1"/>
        <charset val="204"/>
      </rPr>
      <t xml:space="preserve"> 
«Устройство и ремонт остановочных комплексов»</t>
    </r>
  </si>
  <si>
    <r>
      <t xml:space="preserve"> Мероприятие 4.01 
</t>
    </r>
    <r>
      <rPr>
        <sz val="11"/>
        <rFont val="Times New Roman"/>
        <family val="1"/>
        <charset val="204"/>
      </rPr>
      <t>«Ремонт асфальтобетонного покрытия дворовых территорий многоквартирных домов, проездов к дворовым территориям многоквартирных домов  в городе Твери»</t>
    </r>
  </si>
  <si>
    <t>».</t>
  </si>
  <si>
    <t>«Приложение № 1</t>
  </si>
  <si>
    <r>
      <t xml:space="preserve">Показатель 2 
</t>
    </r>
    <r>
      <rPr>
        <sz val="11"/>
        <rFont val="Times New Roman"/>
        <family val="1"/>
        <charset val="204"/>
      </rPr>
      <t>«Протяженность построенных (реконструированных) сетей ливневой канализации»</t>
    </r>
  </si>
  <si>
    <r>
      <t xml:space="preserve">Показатель 2
</t>
    </r>
    <r>
      <rPr>
        <sz val="11"/>
        <rFont val="Times New Roman"/>
        <family val="1"/>
        <charset val="204"/>
      </rPr>
      <t>«Протяженность построенных (реконструированных) дорог»</t>
    </r>
  </si>
  <si>
    <r>
      <t xml:space="preserve">Показатель 4 
</t>
    </r>
    <r>
      <rPr>
        <sz val="11"/>
        <rFont val="Times New Roman"/>
        <family val="1"/>
        <charset val="204"/>
      </rPr>
      <t>«Наличие положительного заключения государственной экспертизы»</t>
    </r>
  </si>
  <si>
    <r>
      <t xml:space="preserve">Ответственный исполнитель муниципальной программы города Твери: </t>
    </r>
    <r>
      <rPr>
        <u/>
        <sz val="12"/>
        <rFont val="Times New Roman"/>
        <family val="1"/>
        <charset val="204"/>
      </rPr>
      <t>Департамент дорожного хозяйства и благоустройства администрации города Твери</t>
    </r>
  </si>
  <si>
    <r>
      <rPr>
        <b/>
        <sz val="11"/>
        <rFont val="Times New Roman"/>
        <family val="1"/>
        <charset val="204"/>
      </rPr>
      <t>Административное мероприятие 1.05</t>
    </r>
    <r>
      <rPr>
        <sz val="11"/>
        <rFont val="Times New Roman"/>
        <family val="1"/>
        <charset val="204"/>
      </rPr>
      <t xml:space="preserve"> 
«Координация деятельности перевозчиков, осуществляющих регулярные перевозки пассажиров и багажа автомобильным транспортом по муниципальным маршрутам регулярных перевозок и по межмуниципальным маршрутам регулярных перевозок, государственные полномочия по которым переданы администрации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</si>
  <si>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проведенных проверок по соблюдению действующего расписания при осуществлении регулярных перевозок пассажиров и багажа по маршрутам регулярных перевозок»</t>
    </r>
  </si>
  <si>
    <r>
      <rPr>
        <b/>
        <sz val="11"/>
        <rFont val="Times New Roman"/>
        <family val="1"/>
        <charset val="204"/>
      </rPr>
      <t>Административное мероприятие 2.01</t>
    </r>
    <r>
      <rPr>
        <sz val="11"/>
        <rFont val="Times New Roman"/>
        <family val="1"/>
        <charset val="204"/>
      </rPr>
      <t xml:space="preserve"> 
«Согласование маршрута движения автотранспортных средств, осуществляющих перевозку опасных грузов на участках автомобильных дорог местного значения»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</si>
  <si>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согласований»</t>
    </r>
  </si>
  <si>
    <r>
      <rPr>
        <b/>
        <sz val="11"/>
        <rFont val="Times New Roman"/>
        <family val="1"/>
        <charset val="204"/>
      </rPr>
      <t>Административное мероприятие 2.02</t>
    </r>
    <r>
      <rPr>
        <sz val="11"/>
        <rFont val="Times New Roman"/>
        <family val="1"/>
        <charset val="204"/>
      </rPr>
      <t xml:space="preserve"> 
«Выдача специального разрешения на движение по автомобильным дорогам местного значения транспортного средства, осуществляющего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</si>
  <si>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специальных разрешений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</si>
  <si>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>Административное мероприятие 2.03</t>
    </r>
    <r>
      <rPr>
        <sz val="11"/>
        <rFont val="Times New Roman"/>
        <family val="1"/>
        <charset val="204"/>
      </rPr>
      <t xml:space="preserve"> 
«Выдача согласований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</si>
  <si>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согласований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</si>
  <si>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>Мероприятие 3.06</t>
    </r>
    <r>
      <rPr>
        <sz val="11"/>
        <rFont val="Times New Roman"/>
        <family val="1"/>
        <charset val="204"/>
      </rPr>
      <t xml:space="preserve"> 
«Субсидия муниципальному унитарному предприятию г. Твери «Жилищно-эксплуатационный комплекс» в соответствии со статьей 14 Федерального закона от 14.11.2002 № 161-ФЗ «О государственных и муниципальных унитарных предприятиях»</t>
    </r>
  </si>
  <si>
    <t>к муниципальной программе города Твери</t>
  </si>
  <si>
    <t>M</t>
  </si>
  <si>
    <t>Н</t>
  </si>
  <si>
    <t>R</t>
  </si>
  <si>
    <t>О</t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</si>
  <si>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«Количество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</si>
  <si>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 xml:space="preserve">Показатель 4 </t>
    </r>
    <r>
      <rPr>
        <sz val="11"/>
        <rFont val="Times New Roman"/>
        <family val="1"/>
        <charset val="204"/>
      </rPr>
      <t xml:space="preserve">
«Протяженность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</si>
  <si>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>Показатель 6</t>
    </r>
    <r>
      <rPr>
        <sz val="11"/>
        <rFont val="Times New Roman"/>
        <family val="1"/>
        <charset val="204"/>
      </rPr>
      <t xml:space="preserve">
«Протяженность отремонтированных искусственных сооружений»</t>
    </r>
  </si>
  <si>
    <t>N</t>
  </si>
  <si>
    <t>O</t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</si>
  <si>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 на территории Московского района»</t>
    </r>
  </si>
  <si>
    <r>
      <rPr>
        <b/>
        <sz val="11"/>
        <rFont val="Times New Roman"/>
        <family val="1"/>
        <charset val="204"/>
      </rPr>
      <t>Мероприятие 4.07</t>
    </r>
    <r>
      <rPr>
        <sz val="11"/>
        <rFont val="Times New Roman"/>
        <family val="1"/>
        <charset val="204"/>
      </rPr>
      <t xml:space="preserve"> 
«Благоустройство дворовой территории по адресу: г. Тверь, 1-й пер. Красной Слободы, дом 3»</t>
    </r>
  </si>
  <si>
    <r>
      <rPr>
        <b/>
        <sz val="11"/>
        <rFont val="Times New Roman"/>
        <family val="1"/>
        <charset val="204"/>
      </rPr>
      <t>Мероприятие 4.08</t>
    </r>
    <r>
      <rPr>
        <sz val="11"/>
        <rFont val="Times New Roman"/>
        <family val="1"/>
        <charset val="204"/>
      </rPr>
      <t xml:space="preserve"> 
«Парковка для автомобилей по адресу: г. Тверь, пер. 1-ый Красной Слободы, дом 7/1»</t>
    </r>
  </si>
  <si>
    <r>
      <rPr>
        <b/>
        <sz val="11"/>
        <rFont val="Times New Roman"/>
        <family val="1"/>
        <charset val="204"/>
      </rPr>
      <t>Мероприятие 4.09</t>
    </r>
    <r>
      <rPr>
        <sz val="11"/>
        <rFont val="Times New Roman"/>
        <family val="1"/>
        <charset val="204"/>
      </rPr>
      <t xml:space="preserve"> 
«Ремонт дороги по адресу: г. Тверь, 3-я улица Пухальского»</t>
    </r>
  </si>
  <si>
    <r>
      <rPr>
        <b/>
        <sz val="11"/>
        <rFont val="Times New Roman"/>
        <family val="1"/>
        <charset val="204"/>
      </rPr>
      <t>Мероприятие 4.10</t>
    </r>
    <r>
      <rPr>
        <sz val="11"/>
        <rFont val="Times New Roman"/>
        <family val="1"/>
        <charset val="204"/>
      </rPr>
      <t xml:space="preserve"> 
«Благоустройство дворовой территории по адресу: г. Тверь, ул. Евгения Пичугина, д. 56»</t>
    </r>
  </si>
  <si>
    <r>
      <rPr>
        <b/>
        <sz val="11"/>
        <rFont val="Times New Roman"/>
        <family val="1"/>
        <charset val="204"/>
      </rPr>
      <t>Мероприятие 4.11</t>
    </r>
    <r>
      <rPr>
        <sz val="11"/>
        <rFont val="Times New Roman"/>
        <family val="1"/>
        <charset val="204"/>
      </rPr>
      <t xml:space="preserve"> 
«Обустройство парковки на придомовой территории дома № 22 корп. 1 по ул. Громова в г. Твери»</t>
    </r>
  </si>
  <si>
    <r>
      <rPr>
        <b/>
        <sz val="11"/>
        <rFont val="Times New Roman"/>
        <family val="1"/>
        <charset val="204"/>
      </rPr>
      <t>Мероприятие 4.12</t>
    </r>
    <r>
      <rPr>
        <sz val="11"/>
        <rFont val="Times New Roman"/>
        <family val="1"/>
        <charset val="204"/>
      </rPr>
      <t xml:space="preserve"> 
«Благоустройство дворовой территории по адресу: г. Тверь, ул. Бобкова, д. 26 кор. 1»</t>
    </r>
  </si>
  <si>
    <r>
      <rPr>
        <b/>
        <sz val="11"/>
        <rFont val="Times New Roman"/>
        <family val="1"/>
        <charset val="204"/>
      </rPr>
      <t>Мероприятие 4.13</t>
    </r>
    <r>
      <rPr>
        <sz val="11"/>
        <rFont val="Times New Roman"/>
        <family val="1"/>
        <charset val="204"/>
      </rPr>
      <t xml:space="preserve"> 
«Благоустройство дворовых территорий многоквартирного дома по адресу: пос. Химинститута д. 33 в городе Твери»</t>
    </r>
  </si>
  <si>
    <r>
      <rPr>
        <b/>
        <sz val="11"/>
        <rFont val="Times New Roman"/>
        <family val="1"/>
        <charset val="204"/>
      </rPr>
      <t>Мероприятие 4.14</t>
    </r>
    <r>
      <rPr>
        <sz val="11"/>
        <rFont val="Times New Roman"/>
        <family val="1"/>
        <charset val="204"/>
      </rPr>
      <t xml:space="preserve"> 
«Благоустройство дворовой территории многоквартирного дома по адресу: пос. Химинститут, д. 50 в городе Твери (1 этап)»</t>
    </r>
  </si>
  <si>
    <r>
      <rPr>
        <b/>
        <sz val="11"/>
        <rFont val="Times New Roman"/>
        <family val="1"/>
        <charset val="204"/>
      </rPr>
      <t>Мероприятие 4.15</t>
    </r>
    <r>
      <rPr>
        <sz val="11"/>
        <rFont val="Times New Roman"/>
        <family val="1"/>
        <charset val="204"/>
      </rPr>
      <t xml:space="preserve"> 
«Благоустройство дворовой территории многоквартирного дома по адресу: пос. Химинститута, д. 50 в городе Твери (2 этап)»</t>
    </r>
  </si>
  <si>
    <r>
      <rPr>
        <b/>
        <sz val="11"/>
        <rFont val="Times New Roman"/>
        <family val="1"/>
        <charset val="204"/>
      </rPr>
      <t>Мероприятие 4.16</t>
    </r>
    <r>
      <rPr>
        <sz val="11"/>
        <rFont val="Times New Roman"/>
        <family val="1"/>
        <charset val="204"/>
      </rPr>
      <t xml:space="preserve"> 
«Установка металлического ограждения вдоль тротуара по адресу: г. Тверь, ул. Можайского, д. 69»</t>
    </r>
  </si>
  <si>
    <r>
      <rPr>
        <b/>
        <sz val="11"/>
        <rFont val="Times New Roman"/>
        <family val="1"/>
        <charset val="204"/>
      </rPr>
      <t>Мероприятие 4.17</t>
    </r>
    <r>
      <rPr>
        <sz val="11"/>
        <rFont val="Times New Roman"/>
        <family val="1"/>
        <charset val="204"/>
      </rPr>
      <t xml:space="preserve">
«Благоустройство дворовой территории многоквартирного дома по адресу: ул. Королёва, дом 22, в городе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</si>
  <si>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«Установка ограждений»</t>
    </r>
  </si>
  <si>
    <r>
      <rPr>
        <b/>
        <sz val="11"/>
        <rFont val="Times New Roman"/>
        <family val="1"/>
        <charset val="204"/>
      </rPr>
      <t>Мероприятие 4.18</t>
    </r>
    <r>
      <rPr>
        <sz val="11"/>
        <rFont val="Times New Roman"/>
        <family val="1"/>
        <charset val="204"/>
      </rPr>
      <t xml:space="preserve"> 
«Устройство асфальтобетонного покрытия площадки для размещения легкового автотранспорта по адресу: г. Тверь, пр-т Чайковского, дом 6, корпус 2»</t>
    </r>
  </si>
  <si>
    <r>
      <rPr>
        <b/>
        <sz val="11"/>
        <rFont val="Times New Roman"/>
        <family val="1"/>
        <charset val="204"/>
      </rPr>
      <t>Мероприятие 4.19</t>
    </r>
    <r>
      <rPr>
        <sz val="11"/>
        <rFont val="Times New Roman"/>
        <family val="1"/>
        <charset val="204"/>
      </rPr>
      <t xml:space="preserve"> 
«Обустройство площадки для временного размещения легкового автотранспорта на придомовой территории МКД № 37 пр. Чайковского г. Твери»</t>
    </r>
  </si>
  <si>
    <r>
      <rPr>
        <b/>
        <sz val="11"/>
        <rFont val="Times New Roman"/>
        <family val="1"/>
        <charset val="204"/>
      </rPr>
      <t xml:space="preserve">Показатель 1 
</t>
    </r>
    <r>
      <rPr>
        <sz val="11"/>
        <rFont val="Times New Roman"/>
        <family val="1"/>
        <charset val="204"/>
      </rPr>
      <t>«Площадь парковочных мест»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</si>
  <si>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 на территории Пролетарского района»</t>
    </r>
  </si>
  <si>
    <r>
      <rPr>
        <b/>
        <sz val="11"/>
        <rFont val="Times New Roman"/>
        <family val="1"/>
        <charset val="204"/>
      </rPr>
      <t xml:space="preserve">Мероприятие 1.14
</t>
    </r>
    <r>
      <rPr>
        <sz val="11"/>
        <rFont val="Times New Roman"/>
        <family val="1"/>
        <charset val="204"/>
      </rPr>
      <t>«Реконструкция Московского шоссе (въезд в город). Пусковой комплекс №1»</t>
    </r>
  </si>
  <si>
    <r>
      <rPr>
        <b/>
        <sz val="11"/>
        <rFont val="Times New Roman"/>
        <family val="1"/>
        <charset val="204"/>
      </rPr>
      <t xml:space="preserve">Мероприятие 1.15
</t>
    </r>
    <r>
      <rPr>
        <sz val="11"/>
        <rFont val="Times New Roman"/>
        <family val="1"/>
        <charset val="204"/>
      </rPr>
      <t>«Проезд от Краснофлотской набережной к гребной базе ГБУ ДО «СДЮШОР по видам гребли имени олимпийской чемпионки Антонины Серединой» (в т.ч. ПИР)»</t>
    </r>
  </si>
  <si>
    <r>
      <rPr>
        <b/>
        <sz val="11"/>
        <color rgb="FFFF0000"/>
        <rFont val="Times New Roman"/>
        <family val="1"/>
        <charset val="204"/>
      </rPr>
      <t>Мероприятие 4.06</t>
    </r>
    <r>
      <rPr>
        <sz val="11"/>
        <color rgb="FFFF0000"/>
        <rFont val="Times New Roman"/>
        <family val="1"/>
        <charset val="204"/>
      </rPr>
      <t xml:space="preserve"> 
«Реализация программы по поддержке местных инициатив»</t>
    </r>
  </si>
  <si>
    <r>
      <rPr>
        <b/>
        <sz val="11"/>
        <color rgb="FFFF0000"/>
        <rFont val="Times New Roman"/>
        <family val="1"/>
        <charset val="204"/>
      </rPr>
      <t xml:space="preserve">Показатель 1 </t>
    </r>
    <r>
      <rPr>
        <sz val="11"/>
        <color rgb="FFFF0000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города»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</si>
  <si>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«Общее количество остановочных комплексов, приведенных в нормативное состояние»</t>
    </r>
  </si>
  <si>
    <t>Начальник департамента дорожного хозяйства и благоустройства администрации города Твери                                                                                                                                                                                                       Д.В. Санников</t>
  </si>
  <si>
    <r>
      <t xml:space="preserve">Показатель 2 
</t>
    </r>
    <r>
      <rPr>
        <sz val="11"/>
        <rFont val="Times New Roman"/>
        <family val="1"/>
        <charset val="204"/>
      </rPr>
      <t>«Протяженность реконструированного искусственного сооружения»</t>
    </r>
  </si>
  <si>
    <r>
      <t xml:space="preserve">Показатель 1
</t>
    </r>
    <r>
      <rPr>
        <sz val="11"/>
        <rFont val="Times New Roman"/>
        <family val="1"/>
        <charset val="204"/>
      </rPr>
      <t>«Наличие положительного сводного заключения о проведении публичного технологического аудита»</t>
    </r>
  </si>
  <si>
    <r>
      <t xml:space="preserve">Показатель 2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</si>
  <si>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новых остановочных комплексов»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</si>
  <si>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 
«Количество отремонтированных остановочных комплексов»</t>
    </r>
  </si>
  <si>
    <t>Приложение 1 
к постановлению администрации города Твери
от «29» сентября   2017 №  1283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</si>
</sst>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8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i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3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164" fontId="4" fillId="6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3" fontId="4" fillId="5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4" borderId="2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3" fillId="3" borderId="0" xfId="0" applyFont="1" applyFill="1" applyBorder="1" applyAlignment="1">
      <alignment horizontal="center" vertical="center" wrapText="1"/>
    </xf>
    <xf numFmtId="1" fontId="3" fillId="3" borderId="0" xfId="0" applyNumberFormat="1" applyFont="1" applyFill="1" applyBorder="1" applyAlignment="1">
      <alignment horizontal="center" vertical="center" wrapText="1"/>
    </xf>
    <xf numFmtId="3" fontId="4" fillId="3" borderId="0" xfId="0" applyNumberFormat="1" applyFont="1" applyFill="1" applyBorder="1" applyAlignment="1">
      <alignment horizontal="center" vertical="center" wrapText="1"/>
    </xf>
    <xf numFmtId="49" fontId="8" fillId="3" borderId="0" xfId="0" applyNumberFormat="1" applyFont="1" applyFill="1" applyAlignment="1">
      <alignment vertical="center" wrapText="1"/>
    </xf>
    <xf numFmtId="49" fontId="1" fillId="3" borderId="0" xfId="0" applyNumberFormat="1" applyFont="1" applyFill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center" vertical="center" wrapText="1"/>
    </xf>
    <xf numFmtId="164" fontId="3" fillId="7" borderId="1" xfId="0" applyNumberFormat="1" applyFont="1" applyFill="1" applyBorder="1" applyAlignment="1">
      <alignment horizontal="center" vertical="center" wrapText="1"/>
    </xf>
    <xf numFmtId="164" fontId="4" fillId="7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3" fontId="3" fillId="7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 wrapText="1"/>
    </xf>
    <xf numFmtId="3" fontId="4" fillId="7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49" fontId="1" fillId="3" borderId="0" xfId="0" applyNumberFormat="1" applyFont="1" applyFill="1" applyAlignment="1">
      <alignment horizontal="center" vertical="center" wrapText="1"/>
    </xf>
    <xf numFmtId="49" fontId="8" fillId="3" borderId="0" xfId="0" applyNumberFormat="1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49" fontId="10" fillId="3" borderId="0" xfId="0" applyNumberFormat="1" applyFont="1" applyFill="1" applyAlignment="1">
      <alignment vertical="center" wrapText="1"/>
    </xf>
    <xf numFmtId="0" fontId="10" fillId="3" borderId="0" xfId="0" applyFont="1" applyFill="1" applyAlignment="1">
      <alignment vertical="center" wrapText="1"/>
    </xf>
    <xf numFmtId="49" fontId="2" fillId="3" borderId="0" xfId="0" applyNumberFormat="1" applyFont="1" applyFill="1" applyAlignment="1">
      <alignment horizontal="center" vertical="center" wrapText="1"/>
    </xf>
    <xf numFmtId="49" fontId="7" fillId="3" borderId="0" xfId="0" applyNumberFormat="1" applyFont="1" applyFill="1" applyAlignment="1">
      <alignment vertical="center" wrapText="1"/>
    </xf>
    <xf numFmtId="49" fontId="12" fillId="3" borderId="0" xfId="0" applyNumberFormat="1" applyFont="1" applyFill="1" applyAlignment="1">
      <alignment vertical="center" wrapText="1"/>
    </xf>
    <xf numFmtId="0" fontId="12" fillId="3" borderId="0" xfId="0" applyFont="1" applyFill="1" applyAlignment="1">
      <alignment vertical="center" wrapText="1"/>
    </xf>
    <xf numFmtId="49" fontId="13" fillId="3" borderId="0" xfId="0" applyNumberFormat="1" applyFont="1" applyFill="1" applyAlignment="1">
      <alignment vertical="center" wrapText="1"/>
    </xf>
    <xf numFmtId="0" fontId="13" fillId="3" borderId="0" xfId="0" applyFont="1" applyFill="1" applyAlignment="1">
      <alignment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49" fontId="1" fillId="3" borderId="0" xfId="0" applyNumberFormat="1" applyFont="1" applyFill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164" fontId="17" fillId="7" borderId="1" xfId="0" applyNumberFormat="1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9" fontId="8" fillId="3" borderId="0" xfId="0" applyNumberFormat="1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52;&#1055;%20&#1044;&#1061;\&#1057;&#1074;&#1086;&#1076;&#1085;&#1072;&#1103;-&#1088;&#1072;&#1089;&#1096;&#1080;&#1088;.&#1089;%20&#1087;&#1086;&#1082;.2014-2016%20(06.09.1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сего-дор"/>
      <sheetName val="Всего-благ"/>
    </sheetNames>
    <sheetDataSet>
      <sheetData sheetId="0" refreshError="1">
        <row r="7">
          <cell r="A7" t="str">
            <v>Код исполнителя (соисполнителя)</v>
          </cell>
        </row>
        <row r="12">
          <cell r="A12" t="str">
            <v>003</v>
          </cell>
        </row>
        <row r="13">
          <cell r="A13" t="str">
            <v>004</v>
          </cell>
        </row>
        <row r="14">
          <cell r="A14" t="str">
            <v>005</v>
          </cell>
        </row>
        <row r="15">
          <cell r="A15" t="str">
            <v>006</v>
          </cell>
        </row>
        <row r="16">
          <cell r="A16" t="str">
            <v>007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59"/>
  <sheetViews>
    <sheetView tabSelected="1" view="pageLayout" zoomScale="80" zoomScaleNormal="90" zoomScaleSheetLayoutView="80" zoomScalePageLayoutView="80" workbookViewId="0">
      <selection activeCell="V1" sqref="V1:AA1"/>
    </sheetView>
  </sheetViews>
  <sheetFormatPr defaultColWidth="8.7109375" defaultRowHeight="15" outlineLevelCol="1" x14ac:dyDescent="0.25"/>
  <cols>
    <col min="1" max="16" width="2.28515625" style="23" customWidth="1"/>
    <col min="17" max="17" width="3.28515625" style="85" customWidth="1"/>
    <col min="18" max="18" width="71.28515625" style="23" customWidth="1"/>
    <col min="19" max="19" width="8.5703125" style="23" customWidth="1"/>
    <col min="20" max="20" width="12" style="85" customWidth="1"/>
    <col min="21" max="21" width="11.28515625" style="85" customWidth="1"/>
    <col min="22" max="22" width="11.7109375" style="85" customWidth="1"/>
    <col min="23" max="24" width="10.5703125" style="85" customWidth="1"/>
    <col min="25" max="25" width="10.42578125" style="85" customWidth="1"/>
    <col min="26" max="26" width="12.28515625" style="83" bestFit="1" customWidth="1"/>
    <col min="27" max="27" width="11.28515625" style="85" customWidth="1"/>
    <col min="28" max="28" width="25.7109375" style="48" customWidth="1" outlineLevel="1"/>
    <col min="29" max="29" width="25" style="48" customWidth="1" outlineLevel="1"/>
    <col min="30" max="30" width="26.140625" style="48" customWidth="1"/>
    <col min="31" max="32" width="8.7109375" style="1"/>
    <col min="33" max="16384" width="8.7109375" style="52"/>
  </cols>
  <sheetData>
    <row r="1" spans="1:32" ht="45" customHeight="1" x14ac:dyDescent="0.25">
      <c r="V1" s="111" t="s">
        <v>245</v>
      </c>
      <c r="W1" s="111"/>
      <c r="X1" s="111"/>
      <c r="Y1" s="111"/>
      <c r="Z1" s="111"/>
      <c r="AA1" s="111"/>
    </row>
    <row r="2" spans="1:32" ht="13.15" customHeight="1" x14ac:dyDescent="0.25">
      <c r="A2" s="111" t="s">
        <v>193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</row>
    <row r="3" spans="1:32" x14ac:dyDescent="0.25">
      <c r="A3" s="111" t="s">
        <v>207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</row>
    <row r="4" spans="1:32" ht="13.15" customHeight="1" x14ac:dyDescent="0.25">
      <c r="A4" s="111" t="s">
        <v>44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</row>
    <row r="5" spans="1:32" ht="13.15" customHeight="1" x14ac:dyDescent="0.25">
      <c r="A5" s="111" t="s">
        <v>189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</row>
    <row r="6" spans="1:32" ht="13.15" customHeight="1" x14ac:dyDescent="0.25">
      <c r="A6" s="50"/>
      <c r="B6" s="50"/>
      <c r="C6" s="82"/>
      <c r="D6" s="82"/>
      <c r="E6" s="82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R6" s="101"/>
      <c r="S6" s="101"/>
      <c r="T6" s="101"/>
      <c r="U6" s="101"/>
      <c r="V6" s="101"/>
      <c r="W6" s="101"/>
      <c r="X6" s="101"/>
      <c r="Y6" s="101"/>
      <c r="Z6" s="101"/>
      <c r="AA6" s="101"/>
    </row>
    <row r="7" spans="1:32" ht="19.149999999999999" customHeight="1" x14ac:dyDescent="0.25">
      <c r="A7" s="112" t="s">
        <v>16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</row>
    <row r="8" spans="1:32" ht="16.149999999999999" customHeight="1" x14ac:dyDescent="0.25">
      <c r="A8" s="112" t="s">
        <v>44</v>
      </c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</row>
    <row r="9" spans="1:32" ht="24" customHeight="1" x14ac:dyDescent="0.25">
      <c r="A9" s="119" t="s">
        <v>197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</row>
    <row r="10" spans="1:32" x14ac:dyDescent="0.25">
      <c r="T10" s="24"/>
      <c r="U10" s="24"/>
    </row>
    <row r="11" spans="1:32" s="53" customFormat="1" ht="33.6" customHeight="1" x14ac:dyDescent="0.25">
      <c r="A11" s="117" t="s">
        <v>22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 t="s">
        <v>17</v>
      </c>
      <c r="S11" s="117" t="s">
        <v>18</v>
      </c>
      <c r="T11" s="117" t="s">
        <v>62</v>
      </c>
      <c r="U11" s="117"/>
      <c r="V11" s="117"/>
      <c r="W11" s="117"/>
      <c r="X11" s="117"/>
      <c r="Y11" s="117"/>
      <c r="Z11" s="117" t="s">
        <v>14</v>
      </c>
      <c r="AA11" s="118"/>
      <c r="AB11" s="87"/>
      <c r="AC11" s="87"/>
      <c r="AD11" s="87"/>
      <c r="AE11" s="86"/>
      <c r="AF11" s="86"/>
    </row>
    <row r="12" spans="1:32" s="53" customFormat="1" ht="65.45" customHeight="1" x14ac:dyDescent="0.25">
      <c r="A12" s="116" t="s">
        <v>173</v>
      </c>
      <c r="B12" s="116"/>
      <c r="C12" s="116"/>
      <c r="D12" s="116" t="s">
        <v>0</v>
      </c>
      <c r="E12" s="116"/>
      <c r="F12" s="116" t="s">
        <v>26</v>
      </c>
      <c r="G12" s="116"/>
      <c r="H12" s="116" t="s">
        <v>27</v>
      </c>
      <c r="I12" s="116"/>
      <c r="J12" s="116"/>
      <c r="K12" s="116"/>
      <c r="L12" s="116"/>
      <c r="M12" s="116"/>
      <c r="N12" s="116"/>
      <c r="O12" s="116"/>
      <c r="P12" s="116"/>
      <c r="Q12" s="116"/>
      <c r="R12" s="118"/>
      <c r="S12" s="118"/>
      <c r="T12" s="108">
        <v>2015</v>
      </c>
      <c r="U12" s="108">
        <v>2016</v>
      </c>
      <c r="V12" s="108">
        <v>2017</v>
      </c>
      <c r="W12" s="108">
        <v>2018</v>
      </c>
      <c r="X12" s="108">
        <v>2019</v>
      </c>
      <c r="Y12" s="108">
        <v>2020</v>
      </c>
      <c r="Z12" s="108" t="s">
        <v>15</v>
      </c>
      <c r="AA12" s="108" t="s">
        <v>56</v>
      </c>
      <c r="AB12" s="87"/>
      <c r="AC12" s="87"/>
      <c r="AD12" s="87"/>
      <c r="AE12" s="86"/>
      <c r="AF12" s="86"/>
    </row>
    <row r="13" spans="1:32" s="54" customFormat="1" ht="11.25" x14ac:dyDescent="0.25">
      <c r="A13" s="38">
        <v>1</v>
      </c>
      <c r="B13" s="38">
        <v>2</v>
      </c>
      <c r="C13" s="38">
        <v>3</v>
      </c>
      <c r="D13" s="38">
        <v>4</v>
      </c>
      <c r="E13" s="38">
        <v>5</v>
      </c>
      <c r="F13" s="38">
        <v>6</v>
      </c>
      <c r="G13" s="38">
        <v>7</v>
      </c>
      <c r="H13" s="38">
        <v>8</v>
      </c>
      <c r="I13" s="38">
        <v>9</v>
      </c>
      <c r="J13" s="38">
        <v>10</v>
      </c>
      <c r="K13" s="38">
        <v>11</v>
      </c>
      <c r="L13" s="38">
        <v>12</v>
      </c>
      <c r="M13" s="38">
        <v>13</v>
      </c>
      <c r="N13" s="38">
        <v>14</v>
      </c>
      <c r="O13" s="38">
        <v>15</v>
      </c>
      <c r="P13" s="38">
        <v>16</v>
      </c>
      <c r="Q13" s="38">
        <v>17</v>
      </c>
      <c r="R13" s="38">
        <v>18</v>
      </c>
      <c r="S13" s="38">
        <v>19</v>
      </c>
      <c r="T13" s="38">
        <v>20</v>
      </c>
      <c r="U13" s="38">
        <v>21</v>
      </c>
      <c r="V13" s="38">
        <v>22</v>
      </c>
      <c r="W13" s="38">
        <v>23</v>
      </c>
      <c r="X13" s="38">
        <v>24</v>
      </c>
      <c r="Y13" s="38">
        <v>25</v>
      </c>
      <c r="Z13" s="38">
        <v>26</v>
      </c>
      <c r="AA13" s="38">
        <v>27</v>
      </c>
      <c r="AB13" s="88"/>
      <c r="AC13" s="88"/>
      <c r="AD13" s="88"/>
      <c r="AE13" s="89"/>
      <c r="AF13" s="89"/>
    </row>
    <row r="14" spans="1:32" s="1" customFormat="1" ht="25.9" customHeight="1" x14ac:dyDescent="0.25">
      <c r="A14" s="55" t="s">
        <v>23</v>
      </c>
      <c r="B14" s="55" t="s">
        <v>23</v>
      </c>
      <c r="C14" s="55" t="s">
        <v>23</v>
      </c>
      <c r="D14" s="55" t="s">
        <v>23</v>
      </c>
      <c r="E14" s="55" t="s">
        <v>23</v>
      </c>
      <c r="F14" s="55" t="s">
        <v>23</v>
      </c>
      <c r="G14" s="55" t="s">
        <v>23</v>
      </c>
      <c r="H14" s="55" t="s">
        <v>23</v>
      </c>
      <c r="I14" s="55" t="s">
        <v>31</v>
      </c>
      <c r="J14" s="55" t="s">
        <v>23</v>
      </c>
      <c r="K14" s="55" t="s">
        <v>23</v>
      </c>
      <c r="L14" s="55" t="s">
        <v>23</v>
      </c>
      <c r="M14" s="55" t="s">
        <v>23</v>
      </c>
      <c r="N14" s="55" t="s">
        <v>23</v>
      </c>
      <c r="O14" s="55" t="s">
        <v>23</v>
      </c>
      <c r="P14" s="55" t="s">
        <v>23</v>
      </c>
      <c r="Q14" s="55" t="s">
        <v>23</v>
      </c>
      <c r="R14" s="56" t="s">
        <v>43</v>
      </c>
      <c r="S14" s="32" t="s">
        <v>59</v>
      </c>
      <c r="T14" s="4">
        <f t="shared" ref="T14:Y14" si="0">T28+T280</f>
        <v>1608712.7999999998</v>
      </c>
      <c r="U14" s="4">
        <f t="shared" si="0"/>
        <v>1228375.3</v>
      </c>
      <c r="V14" s="4">
        <f t="shared" si="0"/>
        <v>1923434.9999999998</v>
      </c>
      <c r="W14" s="4">
        <f t="shared" si="0"/>
        <v>664094.79999999993</v>
      </c>
      <c r="X14" s="4">
        <f t="shared" si="0"/>
        <v>565693</v>
      </c>
      <c r="Y14" s="4">
        <f t="shared" si="0"/>
        <v>493543</v>
      </c>
      <c r="Z14" s="4">
        <f>T14+U14+V14+W14+X14+Y14</f>
        <v>6483853.8999999994</v>
      </c>
      <c r="AA14" s="32">
        <v>2020</v>
      </c>
      <c r="AB14" s="48"/>
      <c r="AC14" s="48"/>
      <c r="AD14" s="48"/>
    </row>
    <row r="15" spans="1:32" s="60" customFormat="1" ht="13.5" hidden="1" customHeight="1" x14ac:dyDescent="0.25">
      <c r="A15" s="57" t="e">
        <f>'[1]Всего-дор'!A11</f>
        <v>#REF!</v>
      </c>
      <c r="B15" s="57"/>
      <c r="C15" s="57"/>
      <c r="D15" s="57"/>
      <c r="E15" s="57"/>
      <c r="F15" s="57"/>
      <c r="G15" s="57"/>
      <c r="H15" s="58" t="e">
        <f>'[1]Всего-дор'!C11</f>
        <v>#REF!</v>
      </c>
      <c r="I15" s="57" t="e">
        <f>'[1]Всего-дор'!D11</f>
        <v>#REF!</v>
      </c>
      <c r="J15" s="57" t="e">
        <f>'[1]Всего-дор'!E11</f>
        <v>#REF!</v>
      </c>
      <c r="K15" s="57" t="e">
        <f>'[1]Всего-дор'!F11</f>
        <v>#REF!</v>
      </c>
      <c r="L15" s="57" t="e">
        <f>'[1]Всего-дор'!G11</f>
        <v>#REF!</v>
      </c>
      <c r="M15" s="57"/>
      <c r="N15" s="57"/>
      <c r="O15" s="57"/>
      <c r="P15" s="57"/>
      <c r="Q15" s="57" t="e">
        <f>'[1]Всего-дор'!H11</f>
        <v>#REF!</v>
      </c>
      <c r="R15" s="59" t="s">
        <v>3</v>
      </c>
      <c r="S15" s="25" t="s">
        <v>1</v>
      </c>
      <c r="T15" s="26" t="e">
        <f>#REF!+#REF!+#REF!+#REF!</f>
        <v>#REF!</v>
      </c>
      <c r="U15" s="26" t="e">
        <f>#REF!+#REF!+#REF!+#REF!</f>
        <v>#REF!</v>
      </c>
      <c r="V15" s="5" t="e">
        <f t="shared" ref="V15:V20" si="1">U15*105.3%</f>
        <v>#REF!</v>
      </c>
      <c r="W15" s="5" t="e">
        <f t="shared" ref="W15:W20" si="2">V15*105.1%</f>
        <v>#REF!</v>
      </c>
      <c r="X15" s="5" t="e">
        <f t="shared" ref="X15:X20" si="3">W15*104.9%</f>
        <v>#REF!</v>
      </c>
      <c r="Y15" s="5"/>
      <c r="Z15" s="4" t="e">
        <f t="shared" ref="Z15:Z124" si="4">T15+U15+V15+W15+X15+Y15</f>
        <v>#REF!</v>
      </c>
      <c r="AA15" s="27">
        <v>2019</v>
      </c>
      <c r="AB15" s="90"/>
      <c r="AC15" s="90"/>
      <c r="AD15" s="90"/>
      <c r="AE15" s="91"/>
      <c r="AF15" s="91"/>
    </row>
    <row r="16" spans="1:32" s="60" customFormat="1" ht="13.5" hidden="1" customHeight="1" x14ac:dyDescent="0.25">
      <c r="A16" s="57" t="str">
        <f>'[1]Всего-дор'!A12</f>
        <v>003</v>
      </c>
      <c r="B16" s="57"/>
      <c r="C16" s="57"/>
      <c r="D16" s="57"/>
      <c r="E16" s="57"/>
      <c r="F16" s="57"/>
      <c r="G16" s="57"/>
      <c r="H16" s="58" t="e">
        <f>'[1]Всего-дор'!C12</f>
        <v>#REF!</v>
      </c>
      <c r="I16" s="57" t="e">
        <f>'[1]Всего-дор'!D12</f>
        <v>#REF!</v>
      </c>
      <c r="J16" s="57" t="e">
        <f>'[1]Всего-дор'!E12</f>
        <v>#REF!</v>
      </c>
      <c r="K16" s="57" t="e">
        <f>'[1]Всего-дор'!F12</f>
        <v>#REF!</v>
      </c>
      <c r="L16" s="57" t="e">
        <f>'[1]Всего-дор'!G12</f>
        <v>#REF!</v>
      </c>
      <c r="M16" s="57"/>
      <c r="N16" s="57"/>
      <c r="O16" s="57"/>
      <c r="P16" s="57"/>
      <c r="Q16" s="57" t="e">
        <f>'[1]Всего-дор'!H12</f>
        <v>#REF!</v>
      </c>
      <c r="R16" s="59" t="s">
        <v>5</v>
      </c>
      <c r="S16" s="25" t="s">
        <v>1</v>
      </c>
      <c r="T16" s="26" t="e">
        <f>#REF!+#REF!+#REF!+#REF!</f>
        <v>#REF!</v>
      </c>
      <c r="U16" s="26" t="e">
        <f>#REF!+#REF!+#REF!+#REF!</f>
        <v>#REF!</v>
      </c>
      <c r="V16" s="5" t="e">
        <f t="shared" si="1"/>
        <v>#REF!</v>
      </c>
      <c r="W16" s="5" t="e">
        <f t="shared" si="2"/>
        <v>#REF!</v>
      </c>
      <c r="X16" s="5" t="e">
        <f t="shared" si="3"/>
        <v>#REF!</v>
      </c>
      <c r="Y16" s="5"/>
      <c r="Z16" s="4" t="e">
        <f t="shared" si="4"/>
        <v>#REF!</v>
      </c>
      <c r="AA16" s="27">
        <v>2019</v>
      </c>
      <c r="AB16" s="90"/>
      <c r="AC16" s="90"/>
      <c r="AD16" s="90"/>
      <c r="AE16" s="91"/>
      <c r="AF16" s="91"/>
    </row>
    <row r="17" spans="1:32" s="60" customFormat="1" ht="13.5" hidden="1" customHeight="1" x14ac:dyDescent="0.25">
      <c r="A17" s="57" t="str">
        <f>'[1]Всего-дор'!A13</f>
        <v>004</v>
      </c>
      <c r="B17" s="57"/>
      <c r="C17" s="57"/>
      <c r="D17" s="57"/>
      <c r="E17" s="57"/>
      <c r="F17" s="57"/>
      <c r="G17" s="57"/>
      <c r="H17" s="58" t="e">
        <f>'[1]Всего-дор'!C13</f>
        <v>#REF!</v>
      </c>
      <c r="I17" s="57" t="e">
        <f>'[1]Всего-дор'!D13</f>
        <v>#REF!</v>
      </c>
      <c r="J17" s="57" t="e">
        <f>'[1]Всего-дор'!E13</f>
        <v>#REF!</v>
      </c>
      <c r="K17" s="57" t="e">
        <f>'[1]Всего-дор'!F13</f>
        <v>#REF!</v>
      </c>
      <c r="L17" s="57" t="e">
        <f>'[1]Всего-дор'!G13</f>
        <v>#REF!</v>
      </c>
      <c r="M17" s="57"/>
      <c r="N17" s="57"/>
      <c r="O17" s="57"/>
      <c r="P17" s="57"/>
      <c r="Q17" s="57" t="e">
        <f>'[1]Всего-дор'!H13</f>
        <v>#REF!</v>
      </c>
      <c r="R17" s="59" t="s">
        <v>4</v>
      </c>
      <c r="S17" s="25" t="s">
        <v>1</v>
      </c>
      <c r="T17" s="26" t="e">
        <f>#REF!+#REF!+#REF!+#REF!</f>
        <v>#REF!</v>
      </c>
      <c r="U17" s="26" t="e">
        <f>#REF!+#REF!+#REF!+#REF!</f>
        <v>#REF!</v>
      </c>
      <c r="V17" s="5" t="e">
        <f t="shared" si="1"/>
        <v>#REF!</v>
      </c>
      <c r="W17" s="5" t="e">
        <f t="shared" si="2"/>
        <v>#REF!</v>
      </c>
      <c r="X17" s="5" t="e">
        <f t="shared" si="3"/>
        <v>#REF!</v>
      </c>
      <c r="Y17" s="5"/>
      <c r="Z17" s="4" t="e">
        <f t="shared" si="4"/>
        <v>#REF!</v>
      </c>
      <c r="AA17" s="27">
        <v>2019</v>
      </c>
      <c r="AB17" s="90"/>
      <c r="AC17" s="90"/>
      <c r="AD17" s="90"/>
      <c r="AE17" s="91"/>
      <c r="AF17" s="91"/>
    </row>
    <row r="18" spans="1:32" s="60" customFormat="1" ht="13.5" hidden="1" customHeight="1" x14ac:dyDescent="0.25">
      <c r="A18" s="57" t="str">
        <f>'[1]Всего-дор'!A14</f>
        <v>005</v>
      </c>
      <c r="B18" s="57"/>
      <c r="C18" s="57"/>
      <c r="D18" s="57"/>
      <c r="E18" s="57"/>
      <c r="F18" s="57"/>
      <c r="G18" s="57"/>
      <c r="H18" s="58" t="e">
        <f>'[1]Всего-дор'!C14</f>
        <v>#REF!</v>
      </c>
      <c r="I18" s="57" t="e">
        <f>'[1]Всего-дор'!D14</f>
        <v>#REF!</v>
      </c>
      <c r="J18" s="57" t="e">
        <f>'[1]Всего-дор'!E14</f>
        <v>#REF!</v>
      </c>
      <c r="K18" s="57" t="e">
        <f>'[1]Всего-дор'!F14</f>
        <v>#REF!</v>
      </c>
      <c r="L18" s="57" t="e">
        <f>'[1]Всего-дор'!G14</f>
        <v>#REF!</v>
      </c>
      <c r="M18" s="57"/>
      <c r="N18" s="57"/>
      <c r="O18" s="57"/>
      <c r="P18" s="57"/>
      <c r="Q18" s="57" t="e">
        <f>'[1]Всего-дор'!H14</f>
        <v>#REF!</v>
      </c>
      <c r="R18" s="59" t="s">
        <v>6</v>
      </c>
      <c r="S18" s="25" t="s">
        <v>1</v>
      </c>
      <c r="T18" s="26" t="e">
        <f>#REF!+#REF!+#REF!+#REF!</f>
        <v>#REF!</v>
      </c>
      <c r="U18" s="26" t="e">
        <f>#REF!+#REF!+#REF!+#REF!</f>
        <v>#REF!</v>
      </c>
      <c r="V18" s="5" t="e">
        <f t="shared" si="1"/>
        <v>#REF!</v>
      </c>
      <c r="W18" s="5" t="e">
        <f t="shared" si="2"/>
        <v>#REF!</v>
      </c>
      <c r="X18" s="5" t="e">
        <f t="shared" si="3"/>
        <v>#REF!</v>
      </c>
      <c r="Y18" s="5"/>
      <c r="Z18" s="4" t="e">
        <f t="shared" si="4"/>
        <v>#REF!</v>
      </c>
      <c r="AA18" s="27">
        <v>2019</v>
      </c>
      <c r="AB18" s="90"/>
      <c r="AC18" s="90"/>
      <c r="AD18" s="90"/>
      <c r="AE18" s="91"/>
      <c r="AF18" s="91"/>
    </row>
    <row r="19" spans="1:32" s="60" customFormat="1" ht="13.5" hidden="1" customHeight="1" x14ac:dyDescent="0.25">
      <c r="A19" s="57" t="str">
        <f>'[1]Всего-дор'!A15</f>
        <v>006</v>
      </c>
      <c r="B19" s="57"/>
      <c r="C19" s="57"/>
      <c r="D19" s="57"/>
      <c r="E19" s="57"/>
      <c r="F19" s="57"/>
      <c r="G19" s="57"/>
      <c r="H19" s="58" t="e">
        <f>'[1]Всего-дор'!C15</f>
        <v>#REF!</v>
      </c>
      <c r="I19" s="57" t="e">
        <f>'[1]Всего-дор'!D15</f>
        <v>#REF!</v>
      </c>
      <c r="J19" s="57" t="e">
        <f>'[1]Всего-дор'!E15</f>
        <v>#REF!</v>
      </c>
      <c r="K19" s="57" t="e">
        <f>'[1]Всего-дор'!F15</f>
        <v>#REF!</v>
      </c>
      <c r="L19" s="57" t="e">
        <f>'[1]Всего-дор'!G15</f>
        <v>#REF!</v>
      </c>
      <c r="M19" s="57"/>
      <c r="N19" s="57"/>
      <c r="O19" s="57"/>
      <c r="P19" s="57"/>
      <c r="Q19" s="57" t="e">
        <f>'[1]Всего-дор'!H15</f>
        <v>#REF!</v>
      </c>
      <c r="R19" s="59" t="s">
        <v>7</v>
      </c>
      <c r="S19" s="25" t="s">
        <v>1</v>
      </c>
      <c r="T19" s="26" t="e">
        <f>#REF!</f>
        <v>#REF!</v>
      </c>
      <c r="U19" s="26" t="e">
        <f>#REF!</f>
        <v>#REF!</v>
      </c>
      <c r="V19" s="5" t="e">
        <f t="shared" si="1"/>
        <v>#REF!</v>
      </c>
      <c r="W19" s="5" t="e">
        <f t="shared" si="2"/>
        <v>#REF!</v>
      </c>
      <c r="X19" s="5" t="e">
        <f t="shared" si="3"/>
        <v>#REF!</v>
      </c>
      <c r="Y19" s="5"/>
      <c r="Z19" s="4" t="e">
        <f t="shared" si="4"/>
        <v>#REF!</v>
      </c>
      <c r="AA19" s="27">
        <v>2019</v>
      </c>
      <c r="AB19" s="90"/>
      <c r="AC19" s="90"/>
      <c r="AD19" s="90"/>
      <c r="AE19" s="91"/>
      <c r="AF19" s="91"/>
    </row>
    <row r="20" spans="1:32" s="60" customFormat="1" ht="1.1499999999999999" hidden="1" customHeight="1" x14ac:dyDescent="0.25">
      <c r="A20" s="57" t="str">
        <f>'[1]Всего-дор'!A16</f>
        <v>007</v>
      </c>
      <c r="B20" s="57"/>
      <c r="C20" s="57"/>
      <c r="D20" s="57"/>
      <c r="E20" s="57"/>
      <c r="F20" s="57"/>
      <c r="G20" s="57"/>
      <c r="H20" s="58" t="e">
        <f>'[1]Всего-дор'!C16</f>
        <v>#REF!</v>
      </c>
      <c r="I20" s="57" t="e">
        <f>'[1]Всего-дор'!D16</f>
        <v>#REF!</v>
      </c>
      <c r="J20" s="57" t="e">
        <f>'[1]Всего-дор'!E16</f>
        <v>#REF!</v>
      </c>
      <c r="K20" s="57" t="e">
        <f>'[1]Всего-дор'!F16</f>
        <v>#REF!</v>
      </c>
      <c r="L20" s="57" t="e">
        <f>'[1]Всего-дор'!G16</f>
        <v>#REF!</v>
      </c>
      <c r="M20" s="57"/>
      <c r="N20" s="57"/>
      <c r="O20" s="57"/>
      <c r="P20" s="57"/>
      <c r="Q20" s="57" t="e">
        <f>'[1]Всего-дор'!H16</f>
        <v>#REF!</v>
      </c>
      <c r="R20" s="59" t="s">
        <v>2</v>
      </c>
      <c r="S20" s="25" t="s">
        <v>1</v>
      </c>
      <c r="T20" s="26" t="e">
        <f>#REF!+#REF!+#REF!+#REF!+#REF!+#REF!+#REF!+#REF!+#REF!+#REF!+#REF!+#REF!</f>
        <v>#REF!</v>
      </c>
      <c r="U20" s="26" t="e">
        <f>#REF!+#REF!+#REF!+#REF!+#REF!+#REF!+#REF!+#REF!+#REF!+#REF!+#REF!+#REF!</f>
        <v>#REF!</v>
      </c>
      <c r="V20" s="5" t="e">
        <f t="shared" si="1"/>
        <v>#REF!</v>
      </c>
      <c r="W20" s="5" t="e">
        <f t="shared" si="2"/>
        <v>#REF!</v>
      </c>
      <c r="X20" s="5" t="e">
        <f t="shared" si="3"/>
        <v>#REF!</v>
      </c>
      <c r="Y20" s="5"/>
      <c r="Z20" s="4" t="e">
        <f t="shared" si="4"/>
        <v>#REF!</v>
      </c>
      <c r="AA20" s="27">
        <v>2019</v>
      </c>
      <c r="AB20" s="90"/>
      <c r="AC20" s="90"/>
      <c r="AD20" s="90"/>
      <c r="AE20" s="91"/>
      <c r="AF20" s="91"/>
    </row>
    <row r="21" spans="1:32" s="22" customFormat="1" ht="44.25" x14ac:dyDescent="0.25">
      <c r="A21" s="41"/>
      <c r="B21" s="41"/>
      <c r="C21" s="41"/>
      <c r="D21" s="41"/>
      <c r="E21" s="41"/>
      <c r="F21" s="41"/>
      <c r="G21" s="41"/>
      <c r="H21" s="40"/>
      <c r="I21" s="41"/>
      <c r="J21" s="41"/>
      <c r="K21" s="41"/>
      <c r="L21" s="41"/>
      <c r="M21" s="41"/>
      <c r="N21" s="41"/>
      <c r="O21" s="41"/>
      <c r="P21" s="41"/>
      <c r="Q21" s="41"/>
      <c r="R21" s="39" t="s">
        <v>78</v>
      </c>
      <c r="S21" s="15"/>
      <c r="T21" s="8"/>
      <c r="U21" s="8"/>
      <c r="V21" s="5"/>
      <c r="W21" s="5"/>
      <c r="X21" s="5"/>
      <c r="Y21" s="5"/>
      <c r="Z21" s="5"/>
      <c r="AA21" s="15"/>
      <c r="AB21" s="48"/>
      <c r="AC21" s="48"/>
      <c r="AD21" s="48"/>
      <c r="AE21" s="1"/>
      <c r="AF21" s="1"/>
    </row>
    <row r="22" spans="1:32" s="22" customFormat="1" ht="45" x14ac:dyDescent="0.25">
      <c r="A22" s="41"/>
      <c r="B22" s="41"/>
      <c r="C22" s="41"/>
      <c r="D22" s="41"/>
      <c r="E22" s="41"/>
      <c r="F22" s="41"/>
      <c r="G22" s="41"/>
      <c r="H22" s="40"/>
      <c r="I22" s="41"/>
      <c r="J22" s="41"/>
      <c r="K22" s="41"/>
      <c r="L22" s="41"/>
      <c r="M22" s="41"/>
      <c r="N22" s="41"/>
      <c r="O22" s="41"/>
      <c r="P22" s="41"/>
      <c r="Q22" s="41"/>
      <c r="R22" s="17" t="s">
        <v>79</v>
      </c>
      <c r="S22" s="15" t="s">
        <v>60</v>
      </c>
      <c r="T22" s="8"/>
      <c r="U22" s="8">
        <f>U31</f>
        <v>18.7</v>
      </c>
      <c r="V22" s="8"/>
      <c r="W22" s="8"/>
      <c r="X22" s="8">
        <f>X48+X63</f>
        <v>25.2</v>
      </c>
      <c r="Y22" s="8"/>
      <c r="Z22" s="5">
        <f t="shared" si="4"/>
        <v>43.9</v>
      </c>
      <c r="AA22" s="15">
        <v>2019</v>
      </c>
      <c r="AB22" s="48"/>
      <c r="AC22" s="48"/>
      <c r="AD22" s="48"/>
      <c r="AE22" s="1"/>
      <c r="AF22" s="1"/>
    </row>
    <row r="23" spans="1:32" s="22" customFormat="1" ht="30" x14ac:dyDescent="0.25">
      <c r="A23" s="41"/>
      <c r="B23" s="41"/>
      <c r="C23" s="41"/>
      <c r="D23" s="41"/>
      <c r="E23" s="41"/>
      <c r="F23" s="41"/>
      <c r="G23" s="41"/>
      <c r="H23" s="40"/>
      <c r="I23" s="41"/>
      <c r="J23" s="41"/>
      <c r="K23" s="41"/>
      <c r="L23" s="41"/>
      <c r="M23" s="41"/>
      <c r="N23" s="41"/>
      <c r="O23" s="41"/>
      <c r="P23" s="41"/>
      <c r="Q23" s="41"/>
      <c r="R23" s="17" t="s">
        <v>80</v>
      </c>
      <c r="S23" s="15" t="s">
        <v>60</v>
      </c>
      <c r="T23" s="8">
        <f t="shared" ref="T23:Y23" si="5">T90</f>
        <v>223.1</v>
      </c>
      <c r="U23" s="8">
        <f t="shared" si="5"/>
        <v>315.7</v>
      </c>
      <c r="V23" s="8">
        <f t="shared" si="5"/>
        <v>96.9</v>
      </c>
      <c r="W23" s="8">
        <f t="shared" si="5"/>
        <v>20.8</v>
      </c>
      <c r="X23" s="8">
        <f t="shared" si="5"/>
        <v>19</v>
      </c>
      <c r="Y23" s="8">
        <f t="shared" si="5"/>
        <v>18.2</v>
      </c>
      <c r="Z23" s="5">
        <f t="shared" si="4"/>
        <v>693.69999999999993</v>
      </c>
      <c r="AA23" s="15">
        <v>2020</v>
      </c>
      <c r="AB23" s="48"/>
      <c r="AC23" s="48"/>
      <c r="AD23" s="48"/>
      <c r="AE23" s="1"/>
      <c r="AF23" s="1"/>
    </row>
    <row r="24" spans="1:32" s="22" customFormat="1" ht="30" x14ac:dyDescent="0.25">
      <c r="A24" s="41"/>
      <c r="B24" s="41"/>
      <c r="C24" s="41"/>
      <c r="D24" s="41"/>
      <c r="E24" s="41"/>
      <c r="F24" s="41"/>
      <c r="G24" s="41"/>
      <c r="H24" s="40"/>
      <c r="I24" s="41"/>
      <c r="J24" s="41"/>
      <c r="K24" s="41"/>
      <c r="L24" s="41"/>
      <c r="M24" s="41"/>
      <c r="N24" s="41"/>
      <c r="O24" s="41"/>
      <c r="P24" s="41"/>
      <c r="Q24" s="41"/>
      <c r="R24" s="17" t="s">
        <v>81</v>
      </c>
      <c r="S24" s="15" t="s">
        <v>60</v>
      </c>
      <c r="T24" s="8">
        <f t="shared" ref="T24:Y24" si="6">T126</f>
        <v>6722.4</v>
      </c>
      <c r="U24" s="8">
        <f t="shared" si="6"/>
        <v>5804.6</v>
      </c>
      <c r="V24" s="8">
        <f t="shared" si="6"/>
        <v>5804.6</v>
      </c>
      <c r="W24" s="8">
        <f t="shared" si="6"/>
        <v>5804.6</v>
      </c>
      <c r="X24" s="8">
        <f t="shared" si="6"/>
        <v>5804.6</v>
      </c>
      <c r="Y24" s="8">
        <f t="shared" si="6"/>
        <v>5804.6</v>
      </c>
      <c r="Z24" s="5">
        <f>Y24</f>
        <v>5804.6</v>
      </c>
      <c r="AA24" s="15">
        <v>2020</v>
      </c>
      <c r="AB24" s="48"/>
      <c r="AC24" s="48"/>
      <c r="AD24" s="48"/>
      <c r="AE24" s="1"/>
      <c r="AF24" s="1"/>
    </row>
    <row r="25" spans="1:32" s="22" customFormat="1" ht="60.6" customHeight="1" x14ac:dyDescent="0.25">
      <c r="A25" s="41"/>
      <c r="B25" s="41"/>
      <c r="C25" s="41"/>
      <c r="D25" s="41"/>
      <c r="E25" s="41"/>
      <c r="F25" s="41"/>
      <c r="G25" s="41"/>
      <c r="H25" s="40"/>
      <c r="I25" s="41"/>
      <c r="J25" s="41"/>
      <c r="K25" s="41"/>
      <c r="L25" s="41"/>
      <c r="M25" s="41"/>
      <c r="N25" s="41"/>
      <c r="O25" s="41"/>
      <c r="P25" s="41"/>
      <c r="Q25" s="41"/>
      <c r="R25" s="17" t="s">
        <v>82</v>
      </c>
      <c r="S25" s="15" t="s">
        <v>55</v>
      </c>
      <c r="T25" s="21">
        <f t="shared" ref="T25:Y25" si="7">T132</f>
        <v>2000</v>
      </c>
      <c r="U25" s="21">
        <f t="shared" si="7"/>
        <v>2862</v>
      </c>
      <c r="V25" s="21">
        <f t="shared" si="7"/>
        <v>2500</v>
      </c>
      <c r="W25" s="21">
        <f t="shared" si="7"/>
        <v>2500</v>
      </c>
      <c r="X25" s="21">
        <f t="shared" si="7"/>
        <v>2300</v>
      </c>
      <c r="Y25" s="21">
        <f t="shared" si="7"/>
        <v>2300</v>
      </c>
      <c r="Z25" s="6">
        <f t="shared" si="4"/>
        <v>14462</v>
      </c>
      <c r="AA25" s="15">
        <v>2020</v>
      </c>
      <c r="AB25" s="48"/>
      <c r="AC25" s="48"/>
      <c r="AD25" s="48"/>
      <c r="AE25" s="1"/>
      <c r="AF25" s="1"/>
    </row>
    <row r="26" spans="1:32" s="22" customFormat="1" ht="63" customHeight="1" x14ac:dyDescent="0.25">
      <c r="A26" s="41"/>
      <c r="B26" s="41"/>
      <c r="C26" s="41"/>
      <c r="D26" s="41"/>
      <c r="E26" s="41"/>
      <c r="F26" s="41"/>
      <c r="G26" s="41"/>
      <c r="H26" s="40"/>
      <c r="I26" s="41"/>
      <c r="J26" s="41"/>
      <c r="K26" s="41"/>
      <c r="L26" s="41"/>
      <c r="M26" s="41"/>
      <c r="N26" s="41"/>
      <c r="O26" s="41"/>
      <c r="P26" s="41"/>
      <c r="Q26" s="41"/>
      <c r="R26" s="17" t="s">
        <v>83</v>
      </c>
      <c r="S26" s="15" t="s">
        <v>60</v>
      </c>
      <c r="T26" s="8">
        <f t="shared" ref="T26:Y26" si="8">T165</f>
        <v>58.2</v>
      </c>
      <c r="U26" s="8">
        <f t="shared" si="8"/>
        <v>27.765300000000003</v>
      </c>
      <c r="V26" s="8">
        <f t="shared" si="8"/>
        <v>120.43999999999998</v>
      </c>
      <c r="W26" s="8">
        <f t="shared" si="8"/>
        <v>4</v>
      </c>
      <c r="X26" s="8">
        <f t="shared" si="8"/>
        <v>10.5</v>
      </c>
      <c r="Y26" s="8">
        <f t="shared" si="8"/>
        <v>10.5</v>
      </c>
      <c r="Z26" s="5">
        <f t="shared" si="4"/>
        <v>231.40530000000001</v>
      </c>
      <c r="AA26" s="15">
        <v>2020</v>
      </c>
      <c r="AB26" s="48"/>
      <c r="AC26" s="48"/>
      <c r="AD26" s="48"/>
      <c r="AE26" s="1"/>
      <c r="AF26" s="1"/>
    </row>
    <row r="27" spans="1:32" s="22" customFormat="1" ht="32.450000000000003" customHeight="1" x14ac:dyDescent="0.25">
      <c r="A27" s="41"/>
      <c r="B27" s="41"/>
      <c r="C27" s="41"/>
      <c r="D27" s="41"/>
      <c r="E27" s="41"/>
      <c r="F27" s="41"/>
      <c r="G27" s="41"/>
      <c r="H27" s="40"/>
      <c r="I27" s="41"/>
      <c r="J27" s="41"/>
      <c r="K27" s="41"/>
      <c r="L27" s="41"/>
      <c r="M27" s="41"/>
      <c r="N27" s="41"/>
      <c r="O27" s="41"/>
      <c r="P27" s="41"/>
      <c r="Q27" s="41"/>
      <c r="R27" s="17" t="s">
        <v>84</v>
      </c>
      <c r="S27" s="15" t="s">
        <v>61</v>
      </c>
      <c r="T27" s="8">
        <f t="shared" ref="T27:Y27" si="9">T282</f>
        <v>32718</v>
      </c>
      <c r="U27" s="8">
        <f t="shared" si="9"/>
        <v>19505</v>
      </c>
      <c r="V27" s="8">
        <f t="shared" si="9"/>
        <v>26453.200000000001</v>
      </c>
      <c r="W27" s="8">
        <f t="shared" si="9"/>
        <v>26453.200000000001</v>
      </c>
      <c r="X27" s="8">
        <f t="shared" si="9"/>
        <v>26453.200000000001</v>
      </c>
      <c r="Y27" s="8">
        <f t="shared" si="9"/>
        <v>26453.200000000001</v>
      </c>
      <c r="Z27" s="5">
        <f t="shared" si="4"/>
        <v>158035.80000000002</v>
      </c>
      <c r="AA27" s="15">
        <v>2020</v>
      </c>
      <c r="AB27" s="48"/>
      <c r="AC27" s="48"/>
      <c r="AD27" s="48"/>
      <c r="AE27" s="1"/>
      <c r="AF27" s="1"/>
    </row>
    <row r="28" spans="1:32" ht="28.5" x14ac:dyDescent="0.25">
      <c r="A28" s="61" t="s">
        <v>23</v>
      </c>
      <c r="B28" s="61" t="s">
        <v>23</v>
      </c>
      <c r="C28" s="61" t="s">
        <v>23</v>
      </c>
      <c r="D28" s="61" t="s">
        <v>23</v>
      </c>
      <c r="E28" s="61" t="s">
        <v>33</v>
      </c>
      <c r="F28" s="61" t="s">
        <v>23</v>
      </c>
      <c r="G28" s="61" t="s">
        <v>32</v>
      </c>
      <c r="H28" s="61" t="s">
        <v>23</v>
      </c>
      <c r="I28" s="61" t="s">
        <v>31</v>
      </c>
      <c r="J28" s="61" t="s">
        <v>24</v>
      </c>
      <c r="K28" s="61" t="s">
        <v>23</v>
      </c>
      <c r="L28" s="61" t="s">
        <v>23</v>
      </c>
      <c r="M28" s="61" t="s">
        <v>23</v>
      </c>
      <c r="N28" s="61" t="s">
        <v>23</v>
      </c>
      <c r="O28" s="61" t="s">
        <v>23</v>
      </c>
      <c r="P28" s="61" t="s">
        <v>23</v>
      </c>
      <c r="Q28" s="61" t="s">
        <v>23</v>
      </c>
      <c r="R28" s="62" t="s">
        <v>85</v>
      </c>
      <c r="S28" s="7" t="s">
        <v>59</v>
      </c>
      <c r="T28" s="3">
        <f t="shared" ref="T28:Y28" si="10">T29+T89+T125+T164</f>
        <v>995047.89999999979</v>
      </c>
      <c r="U28" s="3">
        <f t="shared" si="10"/>
        <v>885042.6</v>
      </c>
      <c r="V28" s="3">
        <f t="shared" si="10"/>
        <v>1678882.9999999998</v>
      </c>
      <c r="W28" s="3">
        <f t="shared" si="10"/>
        <v>561094.79999999993</v>
      </c>
      <c r="X28" s="3">
        <f t="shared" si="10"/>
        <v>471992.99999999994</v>
      </c>
      <c r="Y28" s="3">
        <f t="shared" si="10"/>
        <v>383383</v>
      </c>
      <c r="Z28" s="3">
        <f>T28+U28+V28+W28+X28+Y28</f>
        <v>4975444.2999999989</v>
      </c>
      <c r="AA28" s="7">
        <v>2020</v>
      </c>
    </row>
    <row r="29" spans="1:32" s="65" customFormat="1" ht="45" customHeight="1" x14ac:dyDescent="0.25">
      <c r="A29" s="63" t="s">
        <v>23</v>
      </c>
      <c r="B29" s="63" t="s">
        <v>23</v>
      </c>
      <c r="C29" s="63" t="s">
        <v>23</v>
      </c>
      <c r="D29" s="63" t="s">
        <v>23</v>
      </c>
      <c r="E29" s="63" t="s">
        <v>33</v>
      </c>
      <c r="F29" s="63" t="s">
        <v>23</v>
      </c>
      <c r="G29" s="63" t="s">
        <v>32</v>
      </c>
      <c r="H29" s="63" t="s">
        <v>23</v>
      </c>
      <c r="I29" s="63" t="s">
        <v>31</v>
      </c>
      <c r="J29" s="63" t="s">
        <v>24</v>
      </c>
      <c r="K29" s="63" t="s">
        <v>23</v>
      </c>
      <c r="L29" s="63" t="s">
        <v>24</v>
      </c>
      <c r="M29" s="63" t="s">
        <v>23</v>
      </c>
      <c r="N29" s="63" t="s">
        <v>23</v>
      </c>
      <c r="O29" s="63" t="s">
        <v>23</v>
      </c>
      <c r="P29" s="63" t="s">
        <v>23</v>
      </c>
      <c r="Q29" s="63" t="s">
        <v>23</v>
      </c>
      <c r="R29" s="64" t="s">
        <v>38</v>
      </c>
      <c r="S29" s="28" t="s">
        <v>59</v>
      </c>
      <c r="T29" s="16">
        <f>T33+T40+T43+T50+T53+T56+T58+T60+T64+T67+T69+T72+T77</f>
        <v>87304.3</v>
      </c>
      <c r="U29" s="16">
        <f>U33+U40+U43+U50+U53+U56+U58+U60+U64+U67+U69+U72</f>
        <v>18427.8</v>
      </c>
      <c r="V29" s="16">
        <f>V33+V40+V42+V50+V53+V56+V58+V60+V64+V67+V69+V72+V77+V79+V85</f>
        <v>165380.59999999998</v>
      </c>
      <c r="W29" s="16">
        <f>W33+W40+W42+W50+W53+W56+W58+W60+W64+W67+W69+W72+W77+W79+W85</f>
        <v>121458.79999999999</v>
      </c>
      <c r="X29" s="16">
        <f>X33+X40+X43+X50+X53+X56+X58+X60+X64+X67+X69</f>
        <v>72150</v>
      </c>
      <c r="Y29" s="16"/>
      <c r="Z29" s="16">
        <f>Z33+Z40+Z42+Z50+Z53+Z56+Z58+Z60+Z64+Z67+Z69+Z72+Z77+Z79+Z85</f>
        <v>464721.50000000006</v>
      </c>
      <c r="AA29" s="28">
        <v>2019</v>
      </c>
      <c r="AB29" s="42"/>
      <c r="AC29" s="42"/>
      <c r="AD29" s="42"/>
      <c r="AE29" s="43"/>
      <c r="AF29" s="43"/>
    </row>
    <row r="30" spans="1:32" s="2" customFormat="1" ht="29.25" x14ac:dyDescent="0.25">
      <c r="A30" s="40"/>
      <c r="B30" s="40"/>
      <c r="C30" s="40"/>
      <c r="D30" s="40"/>
      <c r="E30" s="40"/>
      <c r="F30" s="40"/>
      <c r="G30" s="40"/>
      <c r="H30" s="40"/>
      <c r="I30" s="41"/>
      <c r="J30" s="40"/>
      <c r="K30" s="40"/>
      <c r="L30" s="40"/>
      <c r="M30" s="40"/>
      <c r="N30" s="40"/>
      <c r="O30" s="40"/>
      <c r="P30" s="40"/>
      <c r="Q30" s="40"/>
      <c r="R30" s="39" t="s">
        <v>86</v>
      </c>
      <c r="S30" s="15" t="s">
        <v>11</v>
      </c>
      <c r="T30" s="8"/>
      <c r="U30" s="8">
        <f>U36+U47+U62+U65</f>
        <v>0.6</v>
      </c>
      <c r="V30" s="8">
        <f>V36+V47+V62+V65</f>
        <v>0.5</v>
      </c>
      <c r="W30" s="8">
        <f>W36+W47+W62+W65</f>
        <v>0.53</v>
      </c>
      <c r="X30" s="8">
        <f>X47+X62</f>
        <v>1.3</v>
      </c>
      <c r="Y30" s="8"/>
      <c r="Z30" s="5">
        <f t="shared" si="4"/>
        <v>2.93</v>
      </c>
      <c r="AA30" s="15">
        <v>2019</v>
      </c>
      <c r="AB30" s="42"/>
      <c r="AC30" s="42"/>
      <c r="AD30" s="42"/>
      <c r="AE30" s="43"/>
      <c r="AF30" s="43"/>
    </row>
    <row r="31" spans="1:32" s="2" customFormat="1" ht="30" x14ac:dyDescent="0.25">
      <c r="A31" s="40"/>
      <c r="B31" s="40"/>
      <c r="C31" s="40"/>
      <c r="D31" s="40"/>
      <c r="E31" s="40"/>
      <c r="F31" s="40"/>
      <c r="G31" s="40"/>
      <c r="H31" s="40"/>
      <c r="I31" s="41"/>
      <c r="J31" s="40"/>
      <c r="K31" s="40"/>
      <c r="L31" s="40"/>
      <c r="M31" s="40"/>
      <c r="N31" s="40"/>
      <c r="O31" s="40"/>
      <c r="P31" s="40"/>
      <c r="Q31" s="40"/>
      <c r="R31" s="39" t="s">
        <v>87</v>
      </c>
      <c r="S31" s="15" t="s">
        <v>60</v>
      </c>
      <c r="T31" s="8"/>
      <c r="U31" s="8">
        <f>U37+U48+U63+U66</f>
        <v>18.7</v>
      </c>
      <c r="V31" s="8"/>
      <c r="W31" s="8"/>
      <c r="X31" s="8">
        <f>X48+X63</f>
        <v>25.2</v>
      </c>
      <c r="Y31" s="8"/>
      <c r="Z31" s="5">
        <f t="shared" si="4"/>
        <v>43.9</v>
      </c>
      <c r="AA31" s="15">
        <v>2019</v>
      </c>
      <c r="AB31" s="42"/>
      <c r="AC31" s="42"/>
      <c r="AD31" s="42"/>
      <c r="AE31" s="43"/>
      <c r="AF31" s="43"/>
    </row>
    <row r="32" spans="1:32" s="2" customFormat="1" ht="44.25" x14ac:dyDescent="0.25">
      <c r="A32" s="40"/>
      <c r="B32" s="40"/>
      <c r="C32" s="40"/>
      <c r="D32" s="40"/>
      <c r="E32" s="40"/>
      <c r="F32" s="40"/>
      <c r="G32" s="40"/>
      <c r="H32" s="40"/>
      <c r="I32" s="41"/>
      <c r="J32" s="40"/>
      <c r="K32" s="40"/>
      <c r="L32" s="40"/>
      <c r="M32" s="40"/>
      <c r="N32" s="40"/>
      <c r="O32" s="40"/>
      <c r="P32" s="40"/>
      <c r="Q32" s="40"/>
      <c r="R32" s="39" t="s">
        <v>88</v>
      </c>
      <c r="S32" s="15" t="s">
        <v>11</v>
      </c>
      <c r="T32" s="8">
        <f>T52+T57</f>
        <v>1.2</v>
      </c>
      <c r="U32" s="8">
        <f>U55</f>
        <v>0.7</v>
      </c>
      <c r="V32" s="8"/>
      <c r="W32" s="8">
        <f>W57</f>
        <v>0.3</v>
      </c>
      <c r="X32" s="8"/>
      <c r="Y32" s="8"/>
      <c r="Z32" s="5">
        <f t="shared" si="4"/>
        <v>2.1999999999999997</v>
      </c>
      <c r="AA32" s="15">
        <v>2018</v>
      </c>
      <c r="AB32" s="42"/>
      <c r="AC32" s="42"/>
      <c r="AD32" s="42"/>
      <c r="AE32" s="43"/>
      <c r="AF32" s="43"/>
    </row>
    <row r="33" spans="1:32" s="2" customFormat="1" ht="47.45" customHeight="1" x14ac:dyDescent="0.25">
      <c r="A33" s="71" t="s">
        <v>23</v>
      </c>
      <c r="B33" s="71" t="s">
        <v>23</v>
      </c>
      <c r="C33" s="71" t="s">
        <v>39</v>
      </c>
      <c r="D33" s="71" t="s">
        <v>23</v>
      </c>
      <c r="E33" s="71" t="s">
        <v>33</v>
      </c>
      <c r="F33" s="71" t="s">
        <v>23</v>
      </c>
      <c r="G33" s="71" t="s">
        <v>32</v>
      </c>
      <c r="H33" s="71" t="s">
        <v>23</v>
      </c>
      <c r="I33" s="71" t="s">
        <v>31</v>
      </c>
      <c r="J33" s="71" t="s">
        <v>24</v>
      </c>
      <c r="K33" s="71" t="s">
        <v>23</v>
      </c>
      <c r="L33" s="71" t="s">
        <v>24</v>
      </c>
      <c r="M33" s="71" t="s">
        <v>23</v>
      </c>
      <c r="N33" s="71" t="s">
        <v>23</v>
      </c>
      <c r="O33" s="71" t="s">
        <v>23</v>
      </c>
      <c r="P33" s="71" t="s">
        <v>23</v>
      </c>
      <c r="Q33" s="71" t="s">
        <v>23</v>
      </c>
      <c r="R33" s="72" t="s">
        <v>47</v>
      </c>
      <c r="S33" s="73" t="s">
        <v>59</v>
      </c>
      <c r="T33" s="75">
        <f>T34+T35</f>
        <v>30000</v>
      </c>
      <c r="U33" s="75">
        <f>U34+U35</f>
        <v>734.9</v>
      </c>
      <c r="V33" s="75">
        <f>V34+V35</f>
        <v>450</v>
      </c>
      <c r="W33" s="75"/>
      <c r="X33" s="75"/>
      <c r="Y33" s="75"/>
      <c r="Z33" s="75">
        <f t="shared" si="4"/>
        <v>31184.9</v>
      </c>
      <c r="AA33" s="73">
        <v>2017</v>
      </c>
      <c r="AB33" s="42"/>
      <c r="AC33" s="42"/>
      <c r="AD33" s="42"/>
      <c r="AE33" s="43"/>
      <c r="AF33" s="43"/>
    </row>
    <row r="34" spans="1:32" s="2" customFormat="1" ht="46.9" customHeight="1" x14ac:dyDescent="0.25">
      <c r="A34" s="71" t="s">
        <v>23</v>
      </c>
      <c r="B34" s="71" t="s">
        <v>23</v>
      </c>
      <c r="C34" s="71" t="s">
        <v>39</v>
      </c>
      <c r="D34" s="71" t="s">
        <v>23</v>
      </c>
      <c r="E34" s="71" t="s">
        <v>33</v>
      </c>
      <c r="F34" s="71" t="s">
        <v>23</v>
      </c>
      <c r="G34" s="71" t="s">
        <v>32</v>
      </c>
      <c r="H34" s="71" t="s">
        <v>23</v>
      </c>
      <c r="I34" s="71" t="s">
        <v>31</v>
      </c>
      <c r="J34" s="71" t="s">
        <v>24</v>
      </c>
      <c r="K34" s="71" t="s">
        <v>23</v>
      </c>
      <c r="L34" s="71" t="s">
        <v>24</v>
      </c>
      <c r="M34" s="71" t="s">
        <v>23</v>
      </c>
      <c r="N34" s="71" t="s">
        <v>23</v>
      </c>
      <c r="O34" s="71" t="s">
        <v>23</v>
      </c>
      <c r="P34" s="71" t="s">
        <v>23</v>
      </c>
      <c r="Q34" s="71" t="s">
        <v>24</v>
      </c>
      <c r="R34" s="72" t="s">
        <v>47</v>
      </c>
      <c r="S34" s="73" t="s">
        <v>59</v>
      </c>
      <c r="T34" s="74">
        <f>130000-100000</f>
        <v>30000</v>
      </c>
      <c r="U34" s="74">
        <f>1000-262.1-3</f>
        <v>734.9</v>
      </c>
      <c r="V34" s="74">
        <v>450</v>
      </c>
      <c r="W34" s="74"/>
      <c r="X34" s="74"/>
      <c r="Y34" s="74"/>
      <c r="Z34" s="75">
        <f t="shared" si="4"/>
        <v>31184.9</v>
      </c>
      <c r="AA34" s="73">
        <v>2017</v>
      </c>
      <c r="AB34" s="100"/>
      <c r="AC34" s="92"/>
      <c r="AD34" s="42"/>
      <c r="AE34" s="43"/>
      <c r="AF34" s="43"/>
    </row>
    <row r="35" spans="1:32" s="2" customFormat="1" ht="48" hidden="1" customHeight="1" x14ac:dyDescent="0.25">
      <c r="A35" s="71" t="s">
        <v>23</v>
      </c>
      <c r="B35" s="71" t="s">
        <v>23</v>
      </c>
      <c r="C35" s="71" t="s">
        <v>39</v>
      </c>
      <c r="D35" s="71" t="s">
        <v>23</v>
      </c>
      <c r="E35" s="71" t="s">
        <v>33</v>
      </c>
      <c r="F35" s="71" t="s">
        <v>23</v>
      </c>
      <c r="G35" s="71" t="s">
        <v>32</v>
      </c>
      <c r="H35" s="71" t="s">
        <v>23</v>
      </c>
      <c r="I35" s="71" t="s">
        <v>31</v>
      </c>
      <c r="J35" s="71" t="s">
        <v>24</v>
      </c>
      <c r="K35" s="71" t="s">
        <v>23</v>
      </c>
      <c r="L35" s="71" t="s">
        <v>24</v>
      </c>
      <c r="M35" s="71" t="s">
        <v>39</v>
      </c>
      <c r="N35" s="71" t="s">
        <v>35</v>
      </c>
      <c r="O35" s="71" t="s">
        <v>24</v>
      </c>
      <c r="P35" s="71" t="s">
        <v>24</v>
      </c>
      <c r="Q35" s="71" t="s">
        <v>23</v>
      </c>
      <c r="R35" s="72" t="s">
        <v>47</v>
      </c>
      <c r="S35" s="73" t="s">
        <v>59</v>
      </c>
      <c r="T35" s="74"/>
      <c r="U35" s="74"/>
      <c r="V35" s="74"/>
      <c r="W35" s="74"/>
      <c r="X35" s="74"/>
      <c r="Y35" s="74"/>
      <c r="Z35" s="75"/>
      <c r="AA35" s="110"/>
      <c r="AB35" s="48"/>
      <c r="AC35" s="48"/>
      <c r="AD35" s="42"/>
      <c r="AE35" s="43"/>
      <c r="AF35" s="43"/>
    </row>
    <row r="36" spans="1:32" s="43" customFormat="1" ht="27.6" hidden="1" customHeight="1" x14ac:dyDescent="0.25">
      <c r="A36" s="40"/>
      <c r="B36" s="40"/>
      <c r="C36" s="40"/>
      <c r="D36" s="40"/>
      <c r="E36" s="40"/>
      <c r="F36" s="40"/>
      <c r="G36" s="40"/>
      <c r="H36" s="40"/>
      <c r="I36" s="41"/>
      <c r="J36" s="40"/>
      <c r="K36" s="40"/>
      <c r="L36" s="40"/>
      <c r="M36" s="40"/>
      <c r="N36" s="40"/>
      <c r="O36" s="40"/>
      <c r="P36" s="40"/>
      <c r="Q36" s="40"/>
      <c r="R36" s="39" t="s">
        <v>89</v>
      </c>
      <c r="S36" s="15" t="s">
        <v>11</v>
      </c>
      <c r="T36" s="36"/>
      <c r="U36" s="36"/>
      <c r="V36" s="36"/>
      <c r="W36" s="37"/>
      <c r="X36" s="37"/>
      <c r="Y36" s="37"/>
      <c r="Z36" s="5"/>
      <c r="AA36" s="27"/>
      <c r="AB36" s="48"/>
      <c r="AC36" s="42"/>
      <c r="AD36" s="42"/>
    </row>
    <row r="37" spans="1:32" s="43" customFormat="1" ht="30" hidden="1" x14ac:dyDescent="0.25">
      <c r="A37" s="40"/>
      <c r="B37" s="40"/>
      <c r="C37" s="40"/>
      <c r="D37" s="40"/>
      <c r="E37" s="40"/>
      <c r="F37" s="40"/>
      <c r="G37" s="40"/>
      <c r="H37" s="40"/>
      <c r="I37" s="41"/>
      <c r="J37" s="40"/>
      <c r="K37" s="40"/>
      <c r="L37" s="40"/>
      <c r="M37" s="40"/>
      <c r="N37" s="40"/>
      <c r="O37" s="40"/>
      <c r="P37" s="40"/>
      <c r="Q37" s="40"/>
      <c r="R37" s="39" t="s">
        <v>87</v>
      </c>
      <c r="S37" s="15" t="s">
        <v>60</v>
      </c>
      <c r="T37" s="8"/>
      <c r="U37" s="8"/>
      <c r="V37" s="8"/>
      <c r="W37" s="5"/>
      <c r="X37" s="5"/>
      <c r="Y37" s="5"/>
      <c r="Z37" s="5"/>
      <c r="AA37" s="27"/>
      <c r="AB37" s="48"/>
      <c r="AC37" s="42"/>
      <c r="AD37" s="42"/>
    </row>
    <row r="38" spans="1:32" s="43" customFormat="1" ht="44.25" x14ac:dyDescent="0.25">
      <c r="A38" s="40"/>
      <c r="B38" s="40"/>
      <c r="C38" s="40"/>
      <c r="D38" s="40"/>
      <c r="E38" s="40"/>
      <c r="F38" s="40"/>
      <c r="G38" s="40"/>
      <c r="H38" s="40"/>
      <c r="I38" s="41"/>
      <c r="J38" s="40"/>
      <c r="K38" s="40"/>
      <c r="L38" s="40"/>
      <c r="M38" s="40"/>
      <c r="N38" s="40"/>
      <c r="O38" s="40"/>
      <c r="P38" s="40"/>
      <c r="Q38" s="40"/>
      <c r="R38" s="39" t="s">
        <v>241</v>
      </c>
      <c r="S38" s="15" t="s">
        <v>45</v>
      </c>
      <c r="T38" s="8"/>
      <c r="U38" s="21">
        <v>1</v>
      </c>
      <c r="V38" s="21"/>
      <c r="W38" s="5"/>
      <c r="X38" s="5"/>
      <c r="Y38" s="5"/>
      <c r="Z38" s="6">
        <f>SUM(T38:Y38)</f>
        <v>1</v>
      </c>
      <c r="AA38" s="15">
        <v>2016</v>
      </c>
      <c r="AB38" s="48"/>
      <c r="AC38" s="42"/>
      <c r="AD38" s="42"/>
    </row>
    <row r="39" spans="1:32" s="43" customFormat="1" ht="29.25" x14ac:dyDescent="0.25">
      <c r="A39" s="40"/>
      <c r="B39" s="40"/>
      <c r="C39" s="40"/>
      <c r="D39" s="40"/>
      <c r="E39" s="40"/>
      <c r="F39" s="40"/>
      <c r="G39" s="40"/>
      <c r="H39" s="40"/>
      <c r="I39" s="41"/>
      <c r="J39" s="40"/>
      <c r="K39" s="40"/>
      <c r="L39" s="40"/>
      <c r="M39" s="40"/>
      <c r="N39" s="40"/>
      <c r="O39" s="40"/>
      <c r="P39" s="40"/>
      <c r="Q39" s="40"/>
      <c r="R39" s="39" t="s">
        <v>242</v>
      </c>
      <c r="S39" s="15" t="s">
        <v>54</v>
      </c>
      <c r="T39" s="8"/>
      <c r="U39" s="21"/>
      <c r="V39" s="21">
        <v>1</v>
      </c>
      <c r="W39" s="5"/>
      <c r="X39" s="5"/>
      <c r="Y39" s="5"/>
      <c r="Z39" s="6">
        <f>SUM(T39:Y39)</f>
        <v>1</v>
      </c>
      <c r="AA39" s="15">
        <v>2017</v>
      </c>
      <c r="AB39" s="48"/>
      <c r="AC39" s="42"/>
      <c r="AD39" s="42"/>
    </row>
    <row r="40" spans="1:32" s="2" customFormat="1" ht="48" customHeight="1" x14ac:dyDescent="0.25">
      <c r="A40" s="71" t="s">
        <v>23</v>
      </c>
      <c r="B40" s="71" t="s">
        <v>23</v>
      </c>
      <c r="C40" s="71" t="s">
        <v>39</v>
      </c>
      <c r="D40" s="71" t="s">
        <v>23</v>
      </c>
      <c r="E40" s="71" t="s">
        <v>33</v>
      </c>
      <c r="F40" s="71" t="s">
        <v>23</v>
      </c>
      <c r="G40" s="71" t="s">
        <v>32</v>
      </c>
      <c r="H40" s="71" t="s">
        <v>23</v>
      </c>
      <c r="I40" s="71" t="s">
        <v>31</v>
      </c>
      <c r="J40" s="71" t="s">
        <v>24</v>
      </c>
      <c r="K40" s="71" t="s">
        <v>23</v>
      </c>
      <c r="L40" s="71" t="s">
        <v>24</v>
      </c>
      <c r="M40" s="71" t="s">
        <v>23</v>
      </c>
      <c r="N40" s="71" t="s">
        <v>25</v>
      </c>
      <c r="O40" s="71"/>
      <c r="P40" s="71"/>
      <c r="Q40" s="71"/>
      <c r="R40" s="72" t="s">
        <v>90</v>
      </c>
      <c r="S40" s="73" t="s">
        <v>59</v>
      </c>
      <c r="T40" s="74">
        <v>900</v>
      </c>
      <c r="U40" s="75"/>
      <c r="V40" s="75"/>
      <c r="W40" s="75"/>
      <c r="X40" s="75"/>
      <c r="Y40" s="75"/>
      <c r="Z40" s="75">
        <f t="shared" si="4"/>
        <v>900</v>
      </c>
      <c r="AA40" s="73">
        <v>2015</v>
      </c>
      <c r="AB40" s="42"/>
      <c r="AC40" s="42"/>
      <c r="AD40" s="42"/>
      <c r="AE40" s="43"/>
      <c r="AF40" s="43"/>
    </row>
    <row r="41" spans="1:32" s="43" customFormat="1" ht="45.6" customHeight="1" x14ac:dyDescent="0.25">
      <c r="A41" s="41"/>
      <c r="B41" s="41"/>
      <c r="C41" s="41"/>
      <c r="D41" s="41"/>
      <c r="E41" s="40"/>
      <c r="F41" s="40"/>
      <c r="G41" s="40"/>
      <c r="H41" s="40"/>
      <c r="I41" s="41"/>
      <c r="J41" s="40"/>
      <c r="K41" s="40"/>
      <c r="L41" s="40"/>
      <c r="M41" s="40"/>
      <c r="N41" s="40"/>
      <c r="O41" s="40"/>
      <c r="P41" s="40"/>
      <c r="Q41" s="40"/>
      <c r="R41" s="39" t="s">
        <v>67</v>
      </c>
      <c r="S41" s="15" t="s">
        <v>54</v>
      </c>
      <c r="T41" s="21">
        <v>1</v>
      </c>
      <c r="U41" s="21"/>
      <c r="V41" s="21"/>
      <c r="W41" s="21"/>
      <c r="X41" s="21"/>
      <c r="Y41" s="21"/>
      <c r="Z41" s="6">
        <f>T41</f>
        <v>1</v>
      </c>
      <c r="AA41" s="15">
        <v>2015</v>
      </c>
      <c r="AB41" s="42"/>
      <c r="AC41" s="42"/>
      <c r="AD41" s="42"/>
    </row>
    <row r="42" spans="1:32" s="43" customFormat="1" ht="45.6" customHeight="1" x14ac:dyDescent="0.25">
      <c r="A42" s="71" t="s">
        <v>23</v>
      </c>
      <c r="B42" s="71" t="s">
        <v>23</v>
      </c>
      <c r="C42" s="71" t="s">
        <v>39</v>
      </c>
      <c r="D42" s="71" t="s">
        <v>23</v>
      </c>
      <c r="E42" s="71" t="s">
        <v>33</v>
      </c>
      <c r="F42" s="71" t="s">
        <v>23</v>
      </c>
      <c r="G42" s="71" t="s">
        <v>32</v>
      </c>
      <c r="H42" s="71" t="s">
        <v>23</v>
      </c>
      <c r="I42" s="71" t="s">
        <v>31</v>
      </c>
      <c r="J42" s="71" t="s">
        <v>24</v>
      </c>
      <c r="K42" s="71" t="s">
        <v>23</v>
      </c>
      <c r="L42" s="71" t="s">
        <v>24</v>
      </c>
      <c r="M42" s="71" t="s">
        <v>23</v>
      </c>
      <c r="N42" s="71" t="s">
        <v>23</v>
      </c>
      <c r="O42" s="71" t="s">
        <v>23</v>
      </c>
      <c r="P42" s="71" t="s">
        <v>23</v>
      </c>
      <c r="Q42" s="71" t="s">
        <v>34</v>
      </c>
      <c r="R42" s="72" t="s">
        <v>91</v>
      </c>
      <c r="S42" s="73" t="s">
        <v>59</v>
      </c>
      <c r="T42" s="75">
        <f>T43</f>
        <v>20000</v>
      </c>
      <c r="U42" s="75">
        <f>U43</f>
        <v>989</v>
      </c>
      <c r="V42" s="75">
        <f>V43+V44+V45</f>
        <v>78681.899999999994</v>
      </c>
      <c r="W42" s="75">
        <v>16520</v>
      </c>
      <c r="X42" s="75">
        <v>18000</v>
      </c>
      <c r="Y42" s="75"/>
      <c r="Z42" s="75">
        <f t="shared" ref="Z42" si="11">T42+U42+V42+W42+X42+Y42</f>
        <v>134190.9</v>
      </c>
      <c r="AA42" s="73">
        <v>2019</v>
      </c>
      <c r="AB42" s="42"/>
      <c r="AC42" s="42"/>
      <c r="AD42" s="42"/>
    </row>
    <row r="43" spans="1:32" s="2" customFormat="1" ht="45" customHeight="1" x14ac:dyDescent="0.25">
      <c r="A43" s="71" t="s">
        <v>23</v>
      </c>
      <c r="B43" s="71" t="s">
        <v>23</v>
      </c>
      <c r="C43" s="71" t="s">
        <v>39</v>
      </c>
      <c r="D43" s="71" t="s">
        <v>23</v>
      </c>
      <c r="E43" s="71" t="s">
        <v>33</v>
      </c>
      <c r="F43" s="71" t="s">
        <v>23</v>
      </c>
      <c r="G43" s="71" t="s">
        <v>32</v>
      </c>
      <c r="H43" s="71" t="s">
        <v>23</v>
      </c>
      <c r="I43" s="71" t="s">
        <v>31</v>
      </c>
      <c r="J43" s="71" t="s">
        <v>24</v>
      </c>
      <c r="K43" s="71" t="s">
        <v>23</v>
      </c>
      <c r="L43" s="71" t="s">
        <v>24</v>
      </c>
      <c r="M43" s="71" t="s">
        <v>23</v>
      </c>
      <c r="N43" s="71" t="s">
        <v>23</v>
      </c>
      <c r="O43" s="71" t="s">
        <v>23</v>
      </c>
      <c r="P43" s="71" t="s">
        <v>23</v>
      </c>
      <c r="Q43" s="71" t="s">
        <v>34</v>
      </c>
      <c r="R43" s="72" t="s">
        <v>91</v>
      </c>
      <c r="S43" s="73" t="s">
        <v>59</v>
      </c>
      <c r="T43" s="74">
        <v>20000</v>
      </c>
      <c r="U43" s="74">
        <f>1000-11</f>
        <v>989</v>
      </c>
      <c r="V43" s="74">
        <v>820</v>
      </c>
      <c r="W43" s="74">
        <v>16520</v>
      </c>
      <c r="X43" s="74">
        <v>18000</v>
      </c>
      <c r="Y43" s="75"/>
      <c r="Z43" s="75">
        <f t="shared" si="4"/>
        <v>56329</v>
      </c>
      <c r="AA43" s="73">
        <v>2019</v>
      </c>
      <c r="AB43" s="48"/>
      <c r="AC43" s="42"/>
      <c r="AD43" s="42"/>
      <c r="AE43" s="43"/>
      <c r="AF43" s="43"/>
    </row>
    <row r="44" spans="1:32" s="2" customFormat="1" ht="45" hidden="1" customHeight="1" x14ac:dyDescent="0.25">
      <c r="A44" s="71" t="s">
        <v>23</v>
      </c>
      <c r="B44" s="71" t="s">
        <v>23</v>
      </c>
      <c r="C44" s="71" t="s">
        <v>39</v>
      </c>
      <c r="D44" s="71" t="s">
        <v>23</v>
      </c>
      <c r="E44" s="71" t="s">
        <v>33</v>
      </c>
      <c r="F44" s="71" t="s">
        <v>23</v>
      </c>
      <c r="G44" s="71" t="s">
        <v>32</v>
      </c>
      <c r="H44" s="71" t="s">
        <v>23</v>
      </c>
      <c r="I44" s="71" t="s">
        <v>31</v>
      </c>
      <c r="J44" s="71" t="s">
        <v>24</v>
      </c>
      <c r="K44" s="71" t="s">
        <v>23</v>
      </c>
      <c r="L44" s="71" t="s">
        <v>24</v>
      </c>
      <c r="M44" s="71" t="s">
        <v>180</v>
      </c>
      <c r="N44" s="71" t="s">
        <v>23</v>
      </c>
      <c r="O44" s="71" t="s">
        <v>24</v>
      </c>
      <c r="P44" s="71" t="s">
        <v>34</v>
      </c>
      <c r="Q44" s="71" t="s">
        <v>208</v>
      </c>
      <c r="R44" s="72" t="s">
        <v>91</v>
      </c>
      <c r="S44" s="73" t="s">
        <v>59</v>
      </c>
      <c r="T44" s="74"/>
      <c r="U44" s="74"/>
      <c r="V44" s="74"/>
      <c r="W44" s="74"/>
      <c r="X44" s="74"/>
      <c r="Y44" s="75"/>
      <c r="Z44" s="103">
        <f t="shared" ref="Z44" si="12">T44+U44+V44+W44+X44+Y44</f>
        <v>0</v>
      </c>
      <c r="AA44" s="104">
        <v>2017</v>
      </c>
      <c r="AB44" s="48"/>
      <c r="AC44" s="42"/>
      <c r="AD44" s="42"/>
      <c r="AE44" s="43"/>
      <c r="AF44" s="43"/>
    </row>
    <row r="45" spans="1:32" s="2" customFormat="1" ht="45" customHeight="1" x14ac:dyDescent="0.25">
      <c r="A45" s="71" t="s">
        <v>23</v>
      </c>
      <c r="B45" s="71" t="s">
        <v>23</v>
      </c>
      <c r="C45" s="71" t="s">
        <v>39</v>
      </c>
      <c r="D45" s="71" t="s">
        <v>23</v>
      </c>
      <c r="E45" s="71" t="s">
        <v>33</v>
      </c>
      <c r="F45" s="71" t="s">
        <v>23</v>
      </c>
      <c r="G45" s="71" t="s">
        <v>32</v>
      </c>
      <c r="H45" s="71" t="s">
        <v>23</v>
      </c>
      <c r="I45" s="71" t="s">
        <v>31</v>
      </c>
      <c r="J45" s="71" t="s">
        <v>24</v>
      </c>
      <c r="K45" s="71" t="s">
        <v>23</v>
      </c>
      <c r="L45" s="71" t="s">
        <v>24</v>
      </c>
      <c r="M45" s="71" t="s">
        <v>24</v>
      </c>
      <c r="N45" s="71" t="s">
        <v>23</v>
      </c>
      <c r="O45" s="71" t="s">
        <v>24</v>
      </c>
      <c r="P45" s="71" t="s">
        <v>34</v>
      </c>
      <c r="Q45" s="71" t="s">
        <v>211</v>
      </c>
      <c r="R45" s="72" t="s">
        <v>91</v>
      </c>
      <c r="S45" s="73" t="s">
        <v>59</v>
      </c>
      <c r="T45" s="74"/>
      <c r="U45" s="74"/>
      <c r="V45" s="74">
        <v>77861.899999999994</v>
      </c>
      <c r="W45" s="74"/>
      <c r="X45" s="74"/>
      <c r="Y45" s="75"/>
      <c r="Z45" s="75">
        <f t="shared" ref="Z45" si="13">T45+U45+V45+W45+X45+Y45</f>
        <v>77861.899999999994</v>
      </c>
      <c r="AA45" s="73">
        <v>2017</v>
      </c>
      <c r="AB45" s="48"/>
      <c r="AC45" s="42"/>
      <c r="AD45" s="42"/>
      <c r="AE45" s="43"/>
      <c r="AF45" s="43"/>
    </row>
    <row r="46" spans="1:32" s="43" customFormat="1" ht="29.25" x14ac:dyDescent="0.25">
      <c r="A46" s="41"/>
      <c r="B46" s="41"/>
      <c r="C46" s="41"/>
      <c r="D46" s="41"/>
      <c r="E46" s="40"/>
      <c r="F46" s="40"/>
      <c r="G46" s="40"/>
      <c r="H46" s="40"/>
      <c r="I46" s="41"/>
      <c r="J46" s="40"/>
      <c r="K46" s="40"/>
      <c r="L46" s="40"/>
      <c r="M46" s="40"/>
      <c r="N46" s="40"/>
      <c r="O46" s="40"/>
      <c r="P46" s="40"/>
      <c r="Q46" s="40"/>
      <c r="R46" s="39" t="s">
        <v>64</v>
      </c>
      <c r="S46" s="15" t="s">
        <v>54</v>
      </c>
      <c r="T46" s="21">
        <v>1</v>
      </c>
      <c r="U46" s="21"/>
      <c r="V46" s="21"/>
      <c r="W46" s="21"/>
      <c r="X46" s="21"/>
      <c r="Y46" s="21"/>
      <c r="Z46" s="6">
        <v>1</v>
      </c>
      <c r="AA46" s="15">
        <v>2015</v>
      </c>
      <c r="AB46" s="42"/>
      <c r="AC46" s="42"/>
      <c r="AD46" s="42"/>
    </row>
    <row r="47" spans="1:32" s="43" customFormat="1" ht="29.25" x14ac:dyDescent="0.25">
      <c r="A47" s="40"/>
      <c r="B47" s="40"/>
      <c r="C47" s="40"/>
      <c r="D47" s="40"/>
      <c r="E47" s="40"/>
      <c r="F47" s="40"/>
      <c r="G47" s="40"/>
      <c r="H47" s="40"/>
      <c r="I47" s="41"/>
      <c r="J47" s="40"/>
      <c r="K47" s="40"/>
      <c r="L47" s="40"/>
      <c r="M47" s="40"/>
      <c r="N47" s="40"/>
      <c r="O47" s="40"/>
      <c r="P47" s="40"/>
      <c r="Q47" s="40"/>
      <c r="R47" s="39" t="s">
        <v>195</v>
      </c>
      <c r="S47" s="15" t="s">
        <v>11</v>
      </c>
      <c r="T47" s="8"/>
      <c r="U47" s="8"/>
      <c r="V47" s="8">
        <v>0.5</v>
      </c>
      <c r="W47" s="8">
        <v>0.53</v>
      </c>
      <c r="X47" s="8">
        <v>0.3</v>
      </c>
      <c r="Y47" s="8"/>
      <c r="Z47" s="5">
        <f>V47+W47+X47</f>
        <v>1.33</v>
      </c>
      <c r="AA47" s="15">
        <v>2019</v>
      </c>
      <c r="AB47" s="42"/>
      <c r="AC47" s="42"/>
      <c r="AD47" s="42"/>
    </row>
    <row r="48" spans="1:32" s="43" customFormat="1" ht="30" x14ac:dyDescent="0.25">
      <c r="A48" s="40"/>
      <c r="B48" s="40"/>
      <c r="C48" s="40"/>
      <c r="D48" s="40"/>
      <c r="E48" s="40"/>
      <c r="F48" s="40"/>
      <c r="G48" s="40"/>
      <c r="H48" s="40"/>
      <c r="I48" s="41"/>
      <c r="J48" s="40"/>
      <c r="K48" s="40"/>
      <c r="L48" s="40"/>
      <c r="M48" s="40"/>
      <c r="N48" s="40"/>
      <c r="O48" s="40"/>
      <c r="P48" s="40"/>
      <c r="Q48" s="40"/>
      <c r="R48" s="39" t="s">
        <v>99</v>
      </c>
      <c r="S48" s="15" t="s">
        <v>60</v>
      </c>
      <c r="T48" s="8"/>
      <c r="U48" s="8"/>
      <c r="V48" s="8"/>
      <c r="W48" s="8"/>
      <c r="X48" s="8">
        <v>18.2</v>
      </c>
      <c r="Y48" s="8"/>
      <c r="Z48" s="5">
        <f>V48+W48+X48</f>
        <v>18.2</v>
      </c>
      <c r="AA48" s="15">
        <v>2019</v>
      </c>
      <c r="AB48" s="42"/>
      <c r="AC48" s="42"/>
      <c r="AD48" s="42"/>
    </row>
    <row r="49" spans="1:32" s="43" customFormat="1" ht="31.15" customHeight="1" x14ac:dyDescent="0.25">
      <c r="A49" s="40"/>
      <c r="B49" s="40"/>
      <c r="C49" s="40"/>
      <c r="D49" s="40"/>
      <c r="E49" s="40"/>
      <c r="F49" s="40"/>
      <c r="G49" s="40"/>
      <c r="H49" s="40"/>
      <c r="I49" s="41"/>
      <c r="J49" s="40"/>
      <c r="K49" s="40"/>
      <c r="L49" s="40"/>
      <c r="M49" s="40"/>
      <c r="N49" s="40"/>
      <c r="O49" s="40"/>
      <c r="P49" s="40"/>
      <c r="Q49" s="40"/>
      <c r="R49" s="39" t="s">
        <v>196</v>
      </c>
      <c r="S49" s="15" t="s">
        <v>45</v>
      </c>
      <c r="T49" s="8"/>
      <c r="U49" s="21">
        <v>1</v>
      </c>
      <c r="V49" s="8"/>
      <c r="W49" s="8"/>
      <c r="X49" s="8"/>
      <c r="Y49" s="8"/>
      <c r="Z49" s="6">
        <f>T49+U49+V49+W49+X49+Y49</f>
        <v>1</v>
      </c>
      <c r="AA49" s="15">
        <v>2016</v>
      </c>
      <c r="AB49" s="48"/>
      <c r="AC49" s="42"/>
      <c r="AD49" s="42"/>
    </row>
    <row r="50" spans="1:32" s="2" customFormat="1" ht="45.6" customHeight="1" x14ac:dyDescent="0.25">
      <c r="A50" s="71" t="s">
        <v>23</v>
      </c>
      <c r="B50" s="71" t="s">
        <v>23</v>
      </c>
      <c r="C50" s="71" t="s">
        <v>39</v>
      </c>
      <c r="D50" s="71" t="s">
        <v>23</v>
      </c>
      <c r="E50" s="71" t="s">
        <v>33</v>
      </c>
      <c r="F50" s="71" t="s">
        <v>23</v>
      </c>
      <c r="G50" s="71" t="s">
        <v>32</v>
      </c>
      <c r="H50" s="71" t="s">
        <v>23</v>
      </c>
      <c r="I50" s="71" t="s">
        <v>31</v>
      </c>
      <c r="J50" s="71" t="s">
        <v>24</v>
      </c>
      <c r="K50" s="71" t="s">
        <v>23</v>
      </c>
      <c r="L50" s="71" t="s">
        <v>24</v>
      </c>
      <c r="M50" s="71" t="s">
        <v>23</v>
      </c>
      <c r="N50" s="71" t="s">
        <v>33</v>
      </c>
      <c r="O50" s="71"/>
      <c r="P50" s="71"/>
      <c r="Q50" s="71"/>
      <c r="R50" s="72" t="s">
        <v>57</v>
      </c>
      <c r="S50" s="73" t="s">
        <v>59</v>
      </c>
      <c r="T50" s="74">
        <f>10450-1008</f>
        <v>9442</v>
      </c>
      <c r="U50" s="74"/>
      <c r="V50" s="74"/>
      <c r="W50" s="74"/>
      <c r="X50" s="74"/>
      <c r="Y50" s="74"/>
      <c r="Z50" s="75">
        <f t="shared" si="4"/>
        <v>9442</v>
      </c>
      <c r="AA50" s="73">
        <v>2015</v>
      </c>
      <c r="AB50" s="42"/>
      <c r="AC50" s="42"/>
      <c r="AD50" s="42"/>
      <c r="AE50" s="43"/>
      <c r="AF50" s="43"/>
    </row>
    <row r="51" spans="1:32" s="43" customFormat="1" ht="31.9" customHeight="1" x14ac:dyDescent="0.25">
      <c r="A51" s="41"/>
      <c r="B51" s="41"/>
      <c r="C51" s="41"/>
      <c r="D51" s="41"/>
      <c r="E51" s="40"/>
      <c r="F51" s="40"/>
      <c r="G51" s="40"/>
      <c r="H51" s="40"/>
      <c r="I51" s="41"/>
      <c r="J51" s="40"/>
      <c r="K51" s="40"/>
      <c r="L51" s="40"/>
      <c r="M51" s="40"/>
      <c r="N51" s="40"/>
      <c r="O51" s="40"/>
      <c r="P51" s="40"/>
      <c r="Q51" s="40"/>
      <c r="R51" s="39" t="s">
        <v>64</v>
      </c>
      <c r="S51" s="15" t="s">
        <v>54</v>
      </c>
      <c r="T51" s="21">
        <v>1</v>
      </c>
      <c r="U51" s="21"/>
      <c r="V51" s="21"/>
      <c r="W51" s="21"/>
      <c r="X51" s="21"/>
      <c r="Y51" s="21"/>
      <c r="Z51" s="6">
        <f>T51</f>
        <v>1</v>
      </c>
      <c r="AA51" s="15">
        <v>2015</v>
      </c>
      <c r="AB51" s="42"/>
      <c r="AC51" s="42"/>
      <c r="AD51" s="42"/>
    </row>
    <row r="52" spans="1:32" s="43" customFormat="1" ht="45" x14ac:dyDescent="0.25">
      <c r="A52" s="40"/>
      <c r="B52" s="40"/>
      <c r="C52" s="40"/>
      <c r="D52" s="40"/>
      <c r="E52" s="40"/>
      <c r="F52" s="40"/>
      <c r="G52" s="40"/>
      <c r="H52" s="40"/>
      <c r="I52" s="41"/>
      <c r="J52" s="40"/>
      <c r="K52" s="40"/>
      <c r="L52" s="40"/>
      <c r="M52" s="40"/>
      <c r="N52" s="40"/>
      <c r="O52" s="40"/>
      <c r="P52" s="40"/>
      <c r="Q52" s="40"/>
      <c r="R52" s="17" t="s">
        <v>66</v>
      </c>
      <c r="S52" s="15" t="s">
        <v>11</v>
      </c>
      <c r="T52" s="8">
        <v>0.9</v>
      </c>
      <c r="U52" s="8"/>
      <c r="V52" s="8"/>
      <c r="W52" s="8"/>
      <c r="X52" s="8"/>
      <c r="Y52" s="8"/>
      <c r="Z52" s="5">
        <f t="shared" si="4"/>
        <v>0.9</v>
      </c>
      <c r="AA52" s="15">
        <v>2015</v>
      </c>
      <c r="AB52" s="42"/>
      <c r="AC52" s="42"/>
      <c r="AD52" s="42"/>
    </row>
    <row r="53" spans="1:32" s="2" customFormat="1" ht="46.15" customHeight="1" x14ac:dyDescent="0.25">
      <c r="A53" s="71" t="s">
        <v>23</v>
      </c>
      <c r="B53" s="71" t="s">
        <v>23</v>
      </c>
      <c r="C53" s="71" t="s">
        <v>39</v>
      </c>
      <c r="D53" s="71" t="s">
        <v>23</v>
      </c>
      <c r="E53" s="71" t="s">
        <v>33</v>
      </c>
      <c r="F53" s="71" t="s">
        <v>23</v>
      </c>
      <c r="G53" s="71" t="s">
        <v>32</v>
      </c>
      <c r="H53" s="71" t="s">
        <v>23</v>
      </c>
      <c r="I53" s="71" t="s">
        <v>31</v>
      </c>
      <c r="J53" s="71" t="s">
        <v>24</v>
      </c>
      <c r="K53" s="71" t="s">
        <v>23</v>
      </c>
      <c r="L53" s="71" t="s">
        <v>24</v>
      </c>
      <c r="M53" s="71" t="s">
        <v>23</v>
      </c>
      <c r="N53" s="71" t="s">
        <v>23</v>
      </c>
      <c r="O53" s="71" t="s">
        <v>23</v>
      </c>
      <c r="P53" s="71" t="s">
        <v>23</v>
      </c>
      <c r="Q53" s="71" t="s">
        <v>30</v>
      </c>
      <c r="R53" s="72" t="s">
        <v>92</v>
      </c>
      <c r="S53" s="73" t="s">
        <v>59</v>
      </c>
      <c r="T53" s="74">
        <f>8000-833</f>
        <v>7167</v>
      </c>
      <c r="U53" s="74">
        <f>21200-3425-9425-393-583</f>
        <v>7374</v>
      </c>
      <c r="V53" s="75"/>
      <c r="W53" s="75"/>
      <c r="X53" s="75"/>
      <c r="Y53" s="75"/>
      <c r="Z53" s="75">
        <f t="shared" si="4"/>
        <v>14541</v>
      </c>
      <c r="AA53" s="73">
        <v>2016</v>
      </c>
      <c r="AB53" s="48"/>
      <c r="AC53" s="42"/>
      <c r="AD53" s="42"/>
      <c r="AE53" s="43"/>
      <c r="AF53" s="43"/>
    </row>
    <row r="54" spans="1:32" s="43" customFormat="1" ht="29.25" x14ac:dyDescent="0.25">
      <c r="A54" s="41"/>
      <c r="B54" s="41"/>
      <c r="C54" s="41"/>
      <c r="D54" s="41"/>
      <c r="E54" s="40"/>
      <c r="F54" s="40"/>
      <c r="G54" s="40"/>
      <c r="H54" s="40"/>
      <c r="I54" s="41"/>
      <c r="J54" s="40"/>
      <c r="K54" s="40"/>
      <c r="L54" s="40"/>
      <c r="M54" s="40"/>
      <c r="N54" s="40"/>
      <c r="O54" s="40"/>
      <c r="P54" s="40"/>
      <c r="Q54" s="40"/>
      <c r="R54" s="39" t="s">
        <v>64</v>
      </c>
      <c r="S54" s="15" t="s">
        <v>54</v>
      </c>
      <c r="T54" s="21">
        <v>1</v>
      </c>
      <c r="U54" s="21"/>
      <c r="V54" s="21"/>
      <c r="W54" s="21"/>
      <c r="X54" s="21"/>
      <c r="Y54" s="21"/>
      <c r="Z54" s="6">
        <f>T54</f>
        <v>1</v>
      </c>
      <c r="AA54" s="15">
        <v>2015</v>
      </c>
      <c r="AB54" s="48"/>
      <c r="AC54" s="42"/>
      <c r="AD54" s="42"/>
    </row>
    <row r="55" spans="1:32" s="2" customFormat="1" ht="45" x14ac:dyDescent="0.25">
      <c r="A55" s="40"/>
      <c r="B55" s="40"/>
      <c r="C55" s="40"/>
      <c r="D55" s="40"/>
      <c r="E55" s="40"/>
      <c r="F55" s="40"/>
      <c r="G55" s="40"/>
      <c r="H55" s="40"/>
      <c r="I55" s="41"/>
      <c r="J55" s="40"/>
      <c r="K55" s="40"/>
      <c r="L55" s="40"/>
      <c r="M55" s="40"/>
      <c r="N55" s="40"/>
      <c r="O55" s="40"/>
      <c r="P55" s="40"/>
      <c r="Q55" s="40"/>
      <c r="R55" s="66" t="s">
        <v>66</v>
      </c>
      <c r="S55" s="108" t="s">
        <v>11</v>
      </c>
      <c r="T55" s="14"/>
      <c r="U55" s="8">
        <v>0.7</v>
      </c>
      <c r="V55" s="8"/>
      <c r="W55" s="8"/>
      <c r="X55" s="8"/>
      <c r="Y55" s="8"/>
      <c r="Z55" s="5">
        <f t="shared" si="4"/>
        <v>0.7</v>
      </c>
      <c r="AA55" s="15">
        <v>2016</v>
      </c>
      <c r="AB55" s="48"/>
      <c r="AC55" s="42"/>
      <c r="AD55" s="42"/>
      <c r="AE55" s="43"/>
      <c r="AF55" s="43"/>
    </row>
    <row r="56" spans="1:32" s="2" customFormat="1" ht="45" x14ac:dyDescent="0.25">
      <c r="A56" s="71" t="s">
        <v>23</v>
      </c>
      <c r="B56" s="71" t="s">
        <v>23</v>
      </c>
      <c r="C56" s="71" t="s">
        <v>39</v>
      </c>
      <c r="D56" s="71" t="s">
        <v>23</v>
      </c>
      <c r="E56" s="71" t="s">
        <v>33</v>
      </c>
      <c r="F56" s="71" t="s">
        <v>23</v>
      </c>
      <c r="G56" s="71" t="s">
        <v>32</v>
      </c>
      <c r="H56" s="71" t="s">
        <v>23</v>
      </c>
      <c r="I56" s="71" t="s">
        <v>31</v>
      </c>
      <c r="J56" s="71" t="s">
        <v>24</v>
      </c>
      <c r="K56" s="71" t="s">
        <v>23</v>
      </c>
      <c r="L56" s="71" t="s">
        <v>24</v>
      </c>
      <c r="M56" s="71" t="s">
        <v>23</v>
      </c>
      <c r="N56" s="71" t="s">
        <v>23</v>
      </c>
      <c r="O56" s="71" t="s">
        <v>23</v>
      </c>
      <c r="P56" s="71" t="s">
        <v>23</v>
      </c>
      <c r="Q56" s="71" t="s">
        <v>35</v>
      </c>
      <c r="R56" s="72" t="s">
        <v>93</v>
      </c>
      <c r="S56" s="73" t="s">
        <v>59</v>
      </c>
      <c r="T56" s="74">
        <v>15000</v>
      </c>
      <c r="U56" s="74"/>
      <c r="V56" s="74"/>
      <c r="W56" s="74">
        <f>20830-11265.9</f>
        <v>9564.1</v>
      </c>
      <c r="X56" s="75"/>
      <c r="Y56" s="75"/>
      <c r="Z56" s="75">
        <f t="shared" si="4"/>
        <v>24564.1</v>
      </c>
      <c r="AA56" s="73">
        <v>2018</v>
      </c>
      <c r="AB56" s="42"/>
      <c r="AC56" s="42"/>
      <c r="AD56" s="42"/>
      <c r="AE56" s="43"/>
      <c r="AF56" s="43"/>
    </row>
    <row r="57" spans="1:32" s="2" customFormat="1" ht="45" x14ac:dyDescent="0.25">
      <c r="A57" s="40"/>
      <c r="B57" s="40"/>
      <c r="C57" s="40"/>
      <c r="D57" s="40"/>
      <c r="E57" s="40"/>
      <c r="F57" s="40"/>
      <c r="G57" s="40"/>
      <c r="H57" s="40"/>
      <c r="I57" s="41"/>
      <c r="J57" s="40"/>
      <c r="K57" s="40"/>
      <c r="L57" s="40"/>
      <c r="M57" s="40"/>
      <c r="N57" s="40"/>
      <c r="O57" s="40"/>
      <c r="P57" s="40"/>
      <c r="Q57" s="40"/>
      <c r="R57" s="66" t="s">
        <v>94</v>
      </c>
      <c r="S57" s="108" t="s">
        <v>11</v>
      </c>
      <c r="T57" s="14">
        <v>0.3</v>
      </c>
      <c r="U57" s="8"/>
      <c r="V57" s="8"/>
      <c r="W57" s="8">
        <v>0.3</v>
      </c>
      <c r="X57" s="8"/>
      <c r="Y57" s="8"/>
      <c r="Z57" s="5">
        <f t="shared" si="4"/>
        <v>0.6</v>
      </c>
      <c r="AA57" s="15">
        <v>2018</v>
      </c>
      <c r="AB57" s="42"/>
      <c r="AC57" s="42"/>
      <c r="AD57" s="42"/>
      <c r="AE57" s="43"/>
      <c r="AF57" s="43"/>
    </row>
    <row r="58" spans="1:32" s="2" customFormat="1" ht="45" hidden="1" x14ac:dyDescent="0.25">
      <c r="A58" s="71" t="s">
        <v>23</v>
      </c>
      <c r="B58" s="71" t="s">
        <v>23</v>
      </c>
      <c r="C58" s="71" t="s">
        <v>39</v>
      </c>
      <c r="D58" s="71" t="s">
        <v>23</v>
      </c>
      <c r="E58" s="71" t="s">
        <v>33</v>
      </c>
      <c r="F58" s="71" t="s">
        <v>23</v>
      </c>
      <c r="G58" s="71" t="s">
        <v>32</v>
      </c>
      <c r="H58" s="71" t="s">
        <v>23</v>
      </c>
      <c r="I58" s="71" t="s">
        <v>31</v>
      </c>
      <c r="J58" s="71" t="s">
        <v>24</v>
      </c>
      <c r="K58" s="71" t="s">
        <v>23</v>
      </c>
      <c r="L58" s="71" t="s">
        <v>24</v>
      </c>
      <c r="M58" s="71" t="s">
        <v>23</v>
      </c>
      <c r="N58" s="71" t="s">
        <v>39</v>
      </c>
      <c r="O58" s="71"/>
      <c r="P58" s="71"/>
      <c r="Q58" s="71"/>
      <c r="R58" s="72" t="s">
        <v>95</v>
      </c>
      <c r="S58" s="73" t="s">
        <v>59</v>
      </c>
      <c r="T58" s="75"/>
      <c r="U58" s="75"/>
      <c r="V58" s="75"/>
      <c r="W58" s="75"/>
      <c r="X58" s="75"/>
      <c r="Y58" s="75"/>
      <c r="Z58" s="75"/>
      <c r="AA58" s="73"/>
      <c r="AB58" s="42"/>
      <c r="AC58" s="42"/>
      <c r="AD58" s="42"/>
      <c r="AE58" s="43"/>
      <c r="AF58" s="43"/>
    </row>
    <row r="59" spans="1:32" s="2" customFormat="1" ht="45" hidden="1" x14ac:dyDescent="0.25">
      <c r="A59" s="40"/>
      <c r="B59" s="40"/>
      <c r="C59" s="40"/>
      <c r="D59" s="40"/>
      <c r="E59" s="40"/>
      <c r="F59" s="40"/>
      <c r="G59" s="40"/>
      <c r="H59" s="40"/>
      <c r="I59" s="41"/>
      <c r="J59" s="40"/>
      <c r="K59" s="40"/>
      <c r="L59" s="40"/>
      <c r="M59" s="40"/>
      <c r="N59" s="40"/>
      <c r="O59" s="40"/>
      <c r="P59" s="40"/>
      <c r="Q59" s="40"/>
      <c r="R59" s="66" t="s">
        <v>96</v>
      </c>
      <c r="S59" s="108" t="s">
        <v>55</v>
      </c>
      <c r="T59" s="21"/>
      <c r="U59" s="21"/>
      <c r="V59" s="21"/>
      <c r="W59" s="21"/>
      <c r="X59" s="21"/>
      <c r="Y59" s="21"/>
      <c r="Z59" s="6"/>
      <c r="AA59" s="15"/>
      <c r="AB59" s="42"/>
      <c r="AC59" s="42"/>
      <c r="AD59" s="42"/>
      <c r="AE59" s="43"/>
      <c r="AF59" s="43"/>
    </row>
    <row r="60" spans="1:32" s="2" customFormat="1" ht="30" x14ac:dyDescent="0.25">
      <c r="A60" s="71" t="s">
        <v>23</v>
      </c>
      <c r="B60" s="71" t="s">
        <v>23</v>
      </c>
      <c r="C60" s="71" t="s">
        <v>39</v>
      </c>
      <c r="D60" s="71" t="s">
        <v>23</v>
      </c>
      <c r="E60" s="71" t="s">
        <v>33</v>
      </c>
      <c r="F60" s="71" t="s">
        <v>23</v>
      </c>
      <c r="G60" s="71" t="s">
        <v>32</v>
      </c>
      <c r="H60" s="71" t="s">
        <v>23</v>
      </c>
      <c r="I60" s="71" t="s">
        <v>31</v>
      </c>
      <c r="J60" s="71" t="s">
        <v>24</v>
      </c>
      <c r="K60" s="71" t="s">
        <v>23</v>
      </c>
      <c r="L60" s="71" t="s">
        <v>24</v>
      </c>
      <c r="M60" s="71" t="s">
        <v>23</v>
      </c>
      <c r="N60" s="71" t="s">
        <v>23</v>
      </c>
      <c r="O60" s="71" t="s">
        <v>23</v>
      </c>
      <c r="P60" s="71" t="s">
        <v>23</v>
      </c>
      <c r="Q60" s="71" t="s">
        <v>31</v>
      </c>
      <c r="R60" s="72" t="s">
        <v>97</v>
      </c>
      <c r="S60" s="73" t="s">
        <v>59</v>
      </c>
      <c r="T60" s="75"/>
      <c r="U60" s="74">
        <f>4000-1500-100</f>
        <v>2400</v>
      </c>
      <c r="V60" s="74"/>
      <c r="W60" s="74"/>
      <c r="X60" s="74">
        <v>54150</v>
      </c>
      <c r="Y60" s="75"/>
      <c r="Z60" s="75">
        <f t="shared" si="4"/>
        <v>56550</v>
      </c>
      <c r="AA60" s="73">
        <v>2019</v>
      </c>
      <c r="AB60" s="48"/>
      <c r="AC60" s="42"/>
      <c r="AD60" s="42"/>
      <c r="AE60" s="43"/>
      <c r="AF60" s="43"/>
    </row>
    <row r="61" spans="1:32" s="43" customFormat="1" ht="44.25" x14ac:dyDescent="0.25">
      <c r="A61" s="41"/>
      <c r="B61" s="41"/>
      <c r="C61" s="41"/>
      <c r="D61" s="41"/>
      <c r="E61" s="40"/>
      <c r="F61" s="40"/>
      <c r="G61" s="40"/>
      <c r="H61" s="40"/>
      <c r="I61" s="41"/>
      <c r="J61" s="40"/>
      <c r="K61" s="40"/>
      <c r="L61" s="40"/>
      <c r="M61" s="40"/>
      <c r="N61" s="40"/>
      <c r="O61" s="40"/>
      <c r="P61" s="40"/>
      <c r="Q61" s="40"/>
      <c r="R61" s="39" t="s">
        <v>67</v>
      </c>
      <c r="S61" s="15" t="s">
        <v>54</v>
      </c>
      <c r="T61" s="8"/>
      <c r="U61" s="21">
        <v>1</v>
      </c>
      <c r="V61" s="21"/>
      <c r="W61" s="21"/>
      <c r="X61" s="21"/>
      <c r="Y61" s="21"/>
      <c r="Z61" s="6">
        <f>U61</f>
        <v>1</v>
      </c>
      <c r="AA61" s="15">
        <v>2016</v>
      </c>
      <c r="AB61" s="48"/>
      <c r="AC61" s="42"/>
      <c r="AD61" s="42"/>
    </row>
    <row r="62" spans="1:32" s="2" customFormat="1" ht="29.25" x14ac:dyDescent="0.25">
      <c r="A62" s="40"/>
      <c r="B62" s="40"/>
      <c r="C62" s="40"/>
      <c r="D62" s="40"/>
      <c r="E62" s="40"/>
      <c r="F62" s="40"/>
      <c r="G62" s="40"/>
      <c r="H62" s="40"/>
      <c r="I62" s="41"/>
      <c r="J62" s="40"/>
      <c r="K62" s="40"/>
      <c r="L62" s="40"/>
      <c r="M62" s="40"/>
      <c r="N62" s="40"/>
      <c r="O62" s="40"/>
      <c r="P62" s="40"/>
      <c r="Q62" s="40"/>
      <c r="R62" s="39" t="s">
        <v>98</v>
      </c>
      <c r="S62" s="108" t="s">
        <v>11</v>
      </c>
      <c r="T62" s="14"/>
      <c r="U62" s="8"/>
      <c r="V62" s="8"/>
      <c r="W62" s="8"/>
      <c r="X62" s="8">
        <v>1</v>
      </c>
      <c r="Y62" s="29"/>
      <c r="Z62" s="5">
        <f t="shared" si="4"/>
        <v>1</v>
      </c>
      <c r="AA62" s="15">
        <v>2019</v>
      </c>
      <c r="AB62" s="48"/>
      <c r="AC62" s="42"/>
      <c r="AD62" s="42"/>
      <c r="AE62" s="43"/>
      <c r="AF62" s="43"/>
    </row>
    <row r="63" spans="1:32" s="2" customFormat="1" ht="30" x14ac:dyDescent="0.25">
      <c r="A63" s="40"/>
      <c r="B63" s="40"/>
      <c r="C63" s="40"/>
      <c r="D63" s="40"/>
      <c r="E63" s="40"/>
      <c r="F63" s="40"/>
      <c r="G63" s="40"/>
      <c r="H63" s="40"/>
      <c r="I63" s="41"/>
      <c r="J63" s="40"/>
      <c r="K63" s="40"/>
      <c r="L63" s="40"/>
      <c r="M63" s="40"/>
      <c r="N63" s="40"/>
      <c r="O63" s="40"/>
      <c r="P63" s="40"/>
      <c r="Q63" s="40"/>
      <c r="R63" s="39" t="s">
        <v>99</v>
      </c>
      <c r="S63" s="15" t="s">
        <v>60</v>
      </c>
      <c r="T63" s="8"/>
      <c r="U63" s="8"/>
      <c r="V63" s="8"/>
      <c r="W63" s="8"/>
      <c r="X63" s="8">
        <v>7</v>
      </c>
      <c r="Y63" s="8"/>
      <c r="Z63" s="5">
        <f t="shared" si="4"/>
        <v>7</v>
      </c>
      <c r="AA63" s="15">
        <v>2019</v>
      </c>
      <c r="AB63" s="48"/>
      <c r="AC63" s="42"/>
      <c r="AD63" s="42"/>
      <c r="AE63" s="43"/>
      <c r="AF63" s="43"/>
    </row>
    <row r="64" spans="1:32" s="2" customFormat="1" ht="45" x14ac:dyDescent="0.25">
      <c r="A64" s="71" t="s">
        <v>23</v>
      </c>
      <c r="B64" s="71" t="s">
        <v>23</v>
      </c>
      <c r="C64" s="71" t="s">
        <v>39</v>
      </c>
      <c r="D64" s="71" t="s">
        <v>23</v>
      </c>
      <c r="E64" s="71" t="s">
        <v>33</v>
      </c>
      <c r="F64" s="71" t="s">
        <v>23</v>
      </c>
      <c r="G64" s="71" t="s">
        <v>32</v>
      </c>
      <c r="H64" s="71" t="s">
        <v>23</v>
      </c>
      <c r="I64" s="71" t="s">
        <v>31</v>
      </c>
      <c r="J64" s="71" t="s">
        <v>24</v>
      </c>
      <c r="K64" s="71" t="s">
        <v>23</v>
      </c>
      <c r="L64" s="71" t="s">
        <v>24</v>
      </c>
      <c r="M64" s="71" t="s">
        <v>23</v>
      </c>
      <c r="N64" s="71" t="s">
        <v>23</v>
      </c>
      <c r="O64" s="71" t="s">
        <v>23</v>
      </c>
      <c r="P64" s="71" t="s">
        <v>23</v>
      </c>
      <c r="Q64" s="71" t="s">
        <v>32</v>
      </c>
      <c r="R64" s="72" t="s">
        <v>100</v>
      </c>
      <c r="S64" s="73" t="s">
        <v>59</v>
      </c>
      <c r="T64" s="75"/>
      <c r="U64" s="74">
        <f>1500+400-7-24.1</f>
        <v>1868.9</v>
      </c>
      <c r="V64" s="75"/>
      <c r="W64" s="75"/>
      <c r="X64" s="75"/>
      <c r="Y64" s="75"/>
      <c r="Z64" s="75">
        <f t="shared" si="4"/>
        <v>1868.9</v>
      </c>
      <c r="AA64" s="73">
        <v>2016</v>
      </c>
      <c r="AB64" s="48"/>
      <c r="AC64" s="42"/>
      <c r="AD64" s="42"/>
      <c r="AE64" s="43"/>
      <c r="AF64" s="43"/>
    </row>
    <row r="65" spans="1:32" s="2" customFormat="1" ht="29.25" x14ac:dyDescent="0.25">
      <c r="A65" s="40"/>
      <c r="B65" s="40"/>
      <c r="C65" s="40"/>
      <c r="D65" s="40"/>
      <c r="E65" s="40"/>
      <c r="F65" s="40"/>
      <c r="G65" s="40"/>
      <c r="H65" s="40"/>
      <c r="I65" s="41"/>
      <c r="J65" s="40"/>
      <c r="K65" s="40"/>
      <c r="L65" s="40"/>
      <c r="M65" s="40"/>
      <c r="N65" s="40"/>
      <c r="O65" s="40"/>
      <c r="P65" s="40"/>
      <c r="Q65" s="40"/>
      <c r="R65" s="39" t="s">
        <v>89</v>
      </c>
      <c r="S65" s="108" t="s">
        <v>11</v>
      </c>
      <c r="T65" s="14"/>
      <c r="U65" s="8">
        <v>0.6</v>
      </c>
      <c r="V65" s="8"/>
      <c r="W65" s="8"/>
      <c r="X65" s="8"/>
      <c r="Y65" s="8"/>
      <c r="Z65" s="5">
        <f t="shared" si="4"/>
        <v>0.6</v>
      </c>
      <c r="AA65" s="15">
        <v>2016</v>
      </c>
      <c r="AB65" s="48"/>
      <c r="AC65" s="42"/>
      <c r="AD65" s="42"/>
      <c r="AE65" s="43"/>
      <c r="AF65" s="43"/>
    </row>
    <row r="66" spans="1:32" s="2" customFormat="1" ht="30" x14ac:dyDescent="0.25">
      <c r="A66" s="40"/>
      <c r="B66" s="40"/>
      <c r="C66" s="40"/>
      <c r="D66" s="40"/>
      <c r="E66" s="40"/>
      <c r="F66" s="40"/>
      <c r="G66" s="40"/>
      <c r="H66" s="40"/>
      <c r="I66" s="41"/>
      <c r="J66" s="40"/>
      <c r="K66" s="40"/>
      <c r="L66" s="40"/>
      <c r="M66" s="40"/>
      <c r="N66" s="40"/>
      <c r="O66" s="40"/>
      <c r="P66" s="40"/>
      <c r="Q66" s="40"/>
      <c r="R66" s="39" t="s">
        <v>87</v>
      </c>
      <c r="S66" s="15" t="s">
        <v>60</v>
      </c>
      <c r="T66" s="8"/>
      <c r="U66" s="8">
        <v>18.7</v>
      </c>
      <c r="V66" s="8"/>
      <c r="W66" s="8"/>
      <c r="X66" s="8"/>
      <c r="Y66" s="8"/>
      <c r="Z66" s="5">
        <f t="shared" si="4"/>
        <v>18.7</v>
      </c>
      <c r="AA66" s="15">
        <v>2016</v>
      </c>
      <c r="AB66" s="48"/>
      <c r="AC66" s="42"/>
      <c r="AD66" s="42"/>
      <c r="AE66" s="43"/>
      <c r="AF66" s="43"/>
    </row>
    <row r="67" spans="1:32" s="2" customFormat="1" ht="59.25" hidden="1" x14ac:dyDescent="0.25">
      <c r="A67" s="71" t="s">
        <v>23</v>
      </c>
      <c r="B67" s="71" t="s">
        <v>23</v>
      </c>
      <c r="C67" s="71" t="s">
        <v>39</v>
      </c>
      <c r="D67" s="71" t="s">
        <v>23</v>
      </c>
      <c r="E67" s="71" t="s">
        <v>33</v>
      </c>
      <c r="F67" s="71" t="s">
        <v>23</v>
      </c>
      <c r="G67" s="71" t="s">
        <v>32</v>
      </c>
      <c r="H67" s="71" t="s">
        <v>23</v>
      </c>
      <c r="I67" s="71" t="s">
        <v>31</v>
      </c>
      <c r="J67" s="71" t="s">
        <v>24</v>
      </c>
      <c r="K67" s="71" t="s">
        <v>23</v>
      </c>
      <c r="L67" s="71" t="s">
        <v>24</v>
      </c>
      <c r="M67" s="71" t="s">
        <v>24</v>
      </c>
      <c r="N67" s="71" t="s">
        <v>23</v>
      </c>
      <c r="O67" s="71"/>
      <c r="P67" s="71"/>
      <c r="Q67" s="71"/>
      <c r="R67" s="72" t="s">
        <v>101</v>
      </c>
      <c r="S67" s="73" t="s">
        <v>59</v>
      </c>
      <c r="T67" s="75"/>
      <c r="U67" s="75"/>
      <c r="V67" s="75"/>
      <c r="W67" s="75"/>
      <c r="X67" s="75"/>
      <c r="Y67" s="75"/>
      <c r="Z67" s="75"/>
      <c r="AA67" s="110"/>
      <c r="AB67" s="42"/>
      <c r="AC67" s="42"/>
      <c r="AD67" s="42"/>
      <c r="AE67" s="43"/>
      <c r="AF67" s="43"/>
    </row>
    <row r="68" spans="1:32" s="43" customFormat="1" ht="29.25" hidden="1" x14ac:dyDescent="0.25">
      <c r="A68" s="40"/>
      <c r="B68" s="40"/>
      <c r="C68" s="40"/>
      <c r="D68" s="40"/>
      <c r="E68" s="40"/>
      <c r="F68" s="40"/>
      <c r="G68" s="40"/>
      <c r="H68" s="40"/>
      <c r="I68" s="41"/>
      <c r="J68" s="40"/>
      <c r="K68" s="40"/>
      <c r="L68" s="40"/>
      <c r="M68" s="40"/>
      <c r="N68" s="40"/>
      <c r="O68" s="40"/>
      <c r="P68" s="40"/>
      <c r="Q68" s="40"/>
      <c r="R68" s="39" t="s">
        <v>64</v>
      </c>
      <c r="S68" s="15" t="s">
        <v>54</v>
      </c>
      <c r="T68" s="21"/>
      <c r="U68" s="21"/>
      <c r="V68" s="6"/>
      <c r="W68" s="21"/>
      <c r="X68" s="21"/>
      <c r="Y68" s="21"/>
      <c r="Z68" s="6"/>
      <c r="AA68" s="15"/>
      <c r="AB68" s="42"/>
      <c r="AC68" s="42"/>
      <c r="AD68" s="42"/>
    </row>
    <row r="69" spans="1:32" s="2" customFormat="1" ht="30" x14ac:dyDescent="0.25">
      <c r="A69" s="71" t="s">
        <v>23</v>
      </c>
      <c r="B69" s="71" t="s">
        <v>23</v>
      </c>
      <c r="C69" s="71" t="s">
        <v>39</v>
      </c>
      <c r="D69" s="71" t="s">
        <v>23</v>
      </c>
      <c r="E69" s="71" t="s">
        <v>33</v>
      </c>
      <c r="F69" s="71" t="s">
        <v>23</v>
      </c>
      <c r="G69" s="71" t="s">
        <v>32</v>
      </c>
      <c r="H69" s="71" t="s">
        <v>23</v>
      </c>
      <c r="I69" s="71" t="s">
        <v>31</v>
      </c>
      <c r="J69" s="71" t="s">
        <v>24</v>
      </c>
      <c r="K69" s="71" t="s">
        <v>23</v>
      </c>
      <c r="L69" s="71" t="s">
        <v>24</v>
      </c>
      <c r="M69" s="71" t="s">
        <v>23</v>
      </c>
      <c r="N69" s="71" t="s">
        <v>23</v>
      </c>
      <c r="O69" s="71" t="s">
        <v>23</v>
      </c>
      <c r="P69" s="71" t="s">
        <v>24</v>
      </c>
      <c r="Q69" s="71" t="s">
        <v>24</v>
      </c>
      <c r="R69" s="72" t="s">
        <v>63</v>
      </c>
      <c r="S69" s="73" t="s">
        <v>59</v>
      </c>
      <c r="T69" s="74">
        <v>2000</v>
      </c>
      <c r="U69" s="74">
        <v>1051</v>
      </c>
      <c r="V69" s="74"/>
      <c r="W69" s="75"/>
      <c r="X69" s="75"/>
      <c r="Y69" s="75"/>
      <c r="Z69" s="75">
        <f>T69+U69+V69+W69+X69+Y69</f>
        <v>3051</v>
      </c>
      <c r="AA69" s="73">
        <v>2016</v>
      </c>
      <c r="AB69" s="93"/>
      <c r="AC69" s="42"/>
      <c r="AD69" s="42"/>
      <c r="AE69" s="43"/>
      <c r="AF69" s="43"/>
    </row>
    <row r="70" spans="1:32" s="43" customFormat="1" ht="31.9" customHeight="1" x14ac:dyDescent="0.25">
      <c r="A70" s="40"/>
      <c r="B70" s="40"/>
      <c r="C70" s="40"/>
      <c r="D70" s="40"/>
      <c r="E70" s="40"/>
      <c r="F70" s="40"/>
      <c r="G70" s="40"/>
      <c r="H70" s="40"/>
      <c r="I70" s="41"/>
      <c r="J70" s="40"/>
      <c r="K70" s="40"/>
      <c r="L70" s="40"/>
      <c r="M70" s="40"/>
      <c r="N70" s="40"/>
      <c r="O70" s="40"/>
      <c r="P70" s="40"/>
      <c r="Q70" s="40"/>
      <c r="R70" s="39" t="s">
        <v>64</v>
      </c>
      <c r="S70" s="15" t="s">
        <v>54</v>
      </c>
      <c r="T70" s="21">
        <v>1</v>
      </c>
      <c r="U70" s="21">
        <v>1</v>
      </c>
      <c r="V70" s="6"/>
      <c r="W70" s="21"/>
      <c r="X70" s="21"/>
      <c r="Y70" s="21"/>
      <c r="Z70" s="6">
        <v>1</v>
      </c>
      <c r="AA70" s="15">
        <v>2016</v>
      </c>
      <c r="AB70" s="42"/>
      <c r="AC70" s="42"/>
      <c r="AD70" s="42"/>
    </row>
    <row r="71" spans="1:32" s="43" customFormat="1" ht="44.25" hidden="1" x14ac:dyDescent="0.25">
      <c r="A71" s="40"/>
      <c r="B71" s="40"/>
      <c r="C71" s="40"/>
      <c r="D71" s="40"/>
      <c r="E71" s="40"/>
      <c r="F71" s="40"/>
      <c r="G71" s="40"/>
      <c r="H71" s="40"/>
      <c r="I71" s="41"/>
      <c r="J71" s="40"/>
      <c r="K71" s="40"/>
      <c r="L71" s="40"/>
      <c r="M71" s="40"/>
      <c r="N71" s="40"/>
      <c r="O71" s="40"/>
      <c r="P71" s="40"/>
      <c r="Q71" s="40"/>
      <c r="R71" s="39" t="s">
        <v>194</v>
      </c>
      <c r="S71" s="15" t="s">
        <v>11</v>
      </c>
      <c r="T71" s="8"/>
      <c r="U71" s="8"/>
      <c r="V71" s="8"/>
      <c r="W71" s="8"/>
      <c r="X71" s="8"/>
      <c r="Y71" s="8"/>
      <c r="Z71" s="5"/>
      <c r="AA71" s="18"/>
      <c r="AB71" s="42"/>
      <c r="AC71" s="42"/>
      <c r="AD71" s="42"/>
    </row>
    <row r="72" spans="1:32" s="2" customFormat="1" ht="44.25" x14ac:dyDescent="0.25">
      <c r="A72" s="71" t="s">
        <v>23</v>
      </c>
      <c r="B72" s="71" t="s">
        <v>23</v>
      </c>
      <c r="C72" s="71" t="s">
        <v>39</v>
      </c>
      <c r="D72" s="71" t="s">
        <v>23</v>
      </c>
      <c r="E72" s="71" t="s">
        <v>33</v>
      </c>
      <c r="F72" s="71" t="s">
        <v>23</v>
      </c>
      <c r="G72" s="71" t="s">
        <v>32</v>
      </c>
      <c r="H72" s="71" t="s">
        <v>23</v>
      </c>
      <c r="I72" s="71" t="s">
        <v>31</v>
      </c>
      <c r="J72" s="71" t="s">
        <v>24</v>
      </c>
      <c r="K72" s="71" t="s">
        <v>23</v>
      </c>
      <c r="L72" s="71" t="s">
        <v>24</v>
      </c>
      <c r="M72" s="71" t="s">
        <v>23</v>
      </c>
      <c r="N72" s="71" t="s">
        <v>23</v>
      </c>
      <c r="O72" s="71" t="s">
        <v>23</v>
      </c>
      <c r="P72" s="71" t="s">
        <v>23</v>
      </c>
      <c r="Q72" s="71" t="s">
        <v>23</v>
      </c>
      <c r="R72" s="72" t="s">
        <v>58</v>
      </c>
      <c r="S72" s="73" t="s">
        <v>59</v>
      </c>
      <c r="T72" s="75">
        <f>T73+T74</f>
        <v>1711</v>
      </c>
      <c r="U72" s="75">
        <f>U73+U74</f>
        <v>4009.9999999999995</v>
      </c>
      <c r="V72" s="75"/>
      <c r="W72" s="75"/>
      <c r="X72" s="75"/>
      <c r="Y72" s="75"/>
      <c r="Z72" s="75">
        <f>T72+U72+V72+W72+X72+Y72</f>
        <v>5721</v>
      </c>
      <c r="AA72" s="73">
        <v>2016</v>
      </c>
      <c r="AB72" s="42"/>
      <c r="AC72" s="42"/>
      <c r="AD72" s="42"/>
      <c r="AE72" s="43"/>
      <c r="AF72" s="43"/>
    </row>
    <row r="73" spans="1:32" s="2" customFormat="1" ht="44.25" x14ac:dyDescent="0.25">
      <c r="A73" s="71" t="s">
        <v>23</v>
      </c>
      <c r="B73" s="71" t="s">
        <v>23</v>
      </c>
      <c r="C73" s="71" t="s">
        <v>39</v>
      </c>
      <c r="D73" s="71" t="s">
        <v>23</v>
      </c>
      <c r="E73" s="71" t="s">
        <v>33</v>
      </c>
      <c r="F73" s="71" t="s">
        <v>23</v>
      </c>
      <c r="G73" s="71" t="s">
        <v>32</v>
      </c>
      <c r="H73" s="71" t="s">
        <v>23</v>
      </c>
      <c r="I73" s="71" t="s">
        <v>31</v>
      </c>
      <c r="J73" s="71" t="s">
        <v>24</v>
      </c>
      <c r="K73" s="71" t="s">
        <v>39</v>
      </c>
      <c r="L73" s="71" t="s">
        <v>35</v>
      </c>
      <c r="M73" s="71" t="s">
        <v>34</v>
      </c>
      <c r="N73" s="71" t="s">
        <v>25</v>
      </c>
      <c r="O73" s="71"/>
      <c r="P73" s="71"/>
      <c r="Q73" s="71"/>
      <c r="R73" s="72" t="s">
        <v>58</v>
      </c>
      <c r="S73" s="73" t="s">
        <v>59</v>
      </c>
      <c r="T73" s="74">
        <v>1711</v>
      </c>
      <c r="U73" s="74"/>
      <c r="V73" s="75"/>
      <c r="W73" s="74"/>
      <c r="X73" s="74"/>
      <c r="Y73" s="74"/>
      <c r="Z73" s="75">
        <f>T73+U73+V73+W73+X73+Y73</f>
        <v>1711</v>
      </c>
      <c r="AA73" s="73">
        <v>2015</v>
      </c>
      <c r="AB73" s="42"/>
      <c r="AC73" s="42"/>
      <c r="AD73" s="42"/>
      <c r="AE73" s="43"/>
      <c r="AF73" s="43"/>
    </row>
    <row r="74" spans="1:32" s="2" customFormat="1" ht="44.25" x14ac:dyDescent="0.25">
      <c r="A74" s="71" t="s">
        <v>23</v>
      </c>
      <c r="B74" s="71" t="s">
        <v>23</v>
      </c>
      <c r="C74" s="71" t="s">
        <v>39</v>
      </c>
      <c r="D74" s="71" t="s">
        <v>23</v>
      </c>
      <c r="E74" s="71" t="s">
        <v>33</v>
      </c>
      <c r="F74" s="71" t="s">
        <v>23</v>
      </c>
      <c r="G74" s="71" t="s">
        <v>32</v>
      </c>
      <c r="H74" s="71" t="s">
        <v>23</v>
      </c>
      <c r="I74" s="71" t="s">
        <v>31</v>
      </c>
      <c r="J74" s="71" t="s">
        <v>24</v>
      </c>
      <c r="K74" s="71" t="s">
        <v>23</v>
      </c>
      <c r="L74" s="71" t="s">
        <v>24</v>
      </c>
      <c r="M74" s="71" t="s">
        <v>24</v>
      </c>
      <c r="N74" s="71" t="s">
        <v>23</v>
      </c>
      <c r="O74" s="71" t="s">
        <v>39</v>
      </c>
      <c r="P74" s="71" t="s">
        <v>25</v>
      </c>
      <c r="Q74" s="71" t="s">
        <v>178</v>
      </c>
      <c r="R74" s="72" t="s">
        <v>58</v>
      </c>
      <c r="S74" s="73" t="s">
        <v>59</v>
      </c>
      <c r="T74" s="75"/>
      <c r="U74" s="74">
        <f>6964.9-2954.9</f>
        <v>4009.9999999999995</v>
      </c>
      <c r="V74" s="75"/>
      <c r="W74" s="74"/>
      <c r="X74" s="74"/>
      <c r="Y74" s="74"/>
      <c r="Z74" s="75">
        <f>T74+U74+V74+W74+X74+Y74</f>
        <v>4009.9999999999995</v>
      </c>
      <c r="AA74" s="73">
        <v>2016</v>
      </c>
      <c r="AB74" s="96"/>
      <c r="AC74" s="42"/>
      <c r="AD74" s="42"/>
      <c r="AE74" s="43"/>
      <c r="AF74" s="43"/>
    </row>
    <row r="75" spans="1:32" s="43" customFormat="1" ht="29.25" x14ac:dyDescent="0.25">
      <c r="A75" s="40"/>
      <c r="B75" s="40"/>
      <c r="C75" s="40"/>
      <c r="D75" s="40"/>
      <c r="E75" s="40"/>
      <c r="F75" s="40"/>
      <c r="G75" s="40"/>
      <c r="H75" s="40"/>
      <c r="I75" s="41"/>
      <c r="J75" s="40"/>
      <c r="K75" s="40"/>
      <c r="L75" s="40"/>
      <c r="M75" s="40"/>
      <c r="N75" s="40"/>
      <c r="O75" s="40"/>
      <c r="P75" s="40"/>
      <c r="Q75" s="40"/>
      <c r="R75" s="39" t="s">
        <v>65</v>
      </c>
      <c r="S75" s="15" t="s">
        <v>54</v>
      </c>
      <c r="T75" s="21">
        <v>1</v>
      </c>
      <c r="U75" s="21"/>
      <c r="V75" s="6"/>
      <c r="W75" s="21"/>
      <c r="X75" s="21"/>
      <c r="Y75" s="21"/>
      <c r="Z75" s="6">
        <f>T75</f>
        <v>1</v>
      </c>
      <c r="AA75" s="15">
        <v>2015</v>
      </c>
      <c r="AB75" s="42"/>
      <c r="AC75" s="42"/>
      <c r="AD75" s="42"/>
    </row>
    <row r="76" spans="1:32" s="43" customFormat="1" ht="44.25" x14ac:dyDescent="0.25">
      <c r="A76" s="40"/>
      <c r="B76" s="40"/>
      <c r="C76" s="40"/>
      <c r="D76" s="40"/>
      <c r="E76" s="40"/>
      <c r="F76" s="40"/>
      <c r="G76" s="40"/>
      <c r="H76" s="40"/>
      <c r="I76" s="41"/>
      <c r="J76" s="40"/>
      <c r="K76" s="40"/>
      <c r="L76" s="40"/>
      <c r="M76" s="40"/>
      <c r="N76" s="40"/>
      <c r="O76" s="40"/>
      <c r="P76" s="40"/>
      <c r="Q76" s="40"/>
      <c r="R76" s="39" t="s">
        <v>179</v>
      </c>
      <c r="S76" s="15" t="s">
        <v>54</v>
      </c>
      <c r="T76" s="21">
        <v>1</v>
      </c>
      <c r="U76" s="21">
        <v>1</v>
      </c>
      <c r="V76" s="6"/>
      <c r="W76" s="21"/>
      <c r="X76" s="21"/>
      <c r="Y76" s="21"/>
      <c r="Z76" s="6">
        <f>T76</f>
        <v>1</v>
      </c>
      <c r="AA76" s="15">
        <v>2016</v>
      </c>
      <c r="AB76" s="42"/>
      <c r="AC76" s="42"/>
      <c r="AD76" s="42"/>
    </row>
    <row r="77" spans="1:32" s="43" customFormat="1" ht="46.15" customHeight="1" x14ac:dyDescent="0.25">
      <c r="A77" s="71" t="s">
        <v>23</v>
      </c>
      <c r="B77" s="71" t="s">
        <v>23</v>
      </c>
      <c r="C77" s="71" t="s">
        <v>39</v>
      </c>
      <c r="D77" s="71" t="s">
        <v>23</v>
      </c>
      <c r="E77" s="71" t="s">
        <v>33</v>
      </c>
      <c r="F77" s="71" t="s">
        <v>23</v>
      </c>
      <c r="G77" s="71" t="s">
        <v>32</v>
      </c>
      <c r="H77" s="71" t="s">
        <v>23</v>
      </c>
      <c r="I77" s="71" t="s">
        <v>31</v>
      </c>
      <c r="J77" s="71" t="s">
        <v>24</v>
      </c>
      <c r="K77" s="71" t="s">
        <v>23</v>
      </c>
      <c r="L77" s="71" t="s">
        <v>24</v>
      </c>
      <c r="M77" s="71" t="s">
        <v>24</v>
      </c>
      <c r="N77" s="71" t="s">
        <v>25</v>
      </c>
      <c r="O77" s="71"/>
      <c r="P77" s="71"/>
      <c r="Q77" s="71"/>
      <c r="R77" s="72" t="s">
        <v>68</v>
      </c>
      <c r="S77" s="73" t="s">
        <v>59</v>
      </c>
      <c r="T77" s="75">
        <f>1395.3-311</f>
        <v>1084.3</v>
      </c>
      <c r="U77" s="74"/>
      <c r="V77" s="75"/>
      <c r="W77" s="74"/>
      <c r="X77" s="74"/>
      <c r="Y77" s="74"/>
      <c r="Z77" s="75">
        <f>T77</f>
        <v>1084.3</v>
      </c>
      <c r="AA77" s="73">
        <v>2015</v>
      </c>
      <c r="AB77" s="47"/>
      <c r="AC77" s="42"/>
      <c r="AD77" s="42"/>
    </row>
    <row r="78" spans="1:32" s="43" customFormat="1" ht="29.25" x14ac:dyDescent="0.25">
      <c r="A78" s="40"/>
      <c r="B78" s="40"/>
      <c r="C78" s="40"/>
      <c r="D78" s="40"/>
      <c r="E78" s="40"/>
      <c r="F78" s="40"/>
      <c r="G78" s="40"/>
      <c r="H78" s="40"/>
      <c r="I78" s="41"/>
      <c r="J78" s="40"/>
      <c r="K78" s="40"/>
      <c r="L78" s="40"/>
      <c r="M78" s="40"/>
      <c r="N78" s="40"/>
      <c r="O78" s="40"/>
      <c r="P78" s="40"/>
      <c r="Q78" s="40"/>
      <c r="R78" s="39" t="s">
        <v>69</v>
      </c>
      <c r="S78" s="15" t="s">
        <v>54</v>
      </c>
      <c r="T78" s="21">
        <v>1</v>
      </c>
      <c r="U78" s="21"/>
      <c r="V78" s="6"/>
      <c r="W78" s="21"/>
      <c r="X78" s="21"/>
      <c r="Y78" s="21"/>
      <c r="Z78" s="6">
        <f>T78</f>
        <v>1</v>
      </c>
      <c r="AA78" s="15">
        <v>2015</v>
      </c>
      <c r="AB78" s="42"/>
      <c r="AC78" s="42"/>
      <c r="AD78" s="42"/>
    </row>
    <row r="79" spans="1:32" s="43" customFormat="1" ht="44.25" x14ac:dyDescent="0.25">
      <c r="A79" s="71" t="s">
        <v>23</v>
      </c>
      <c r="B79" s="71" t="s">
        <v>23</v>
      </c>
      <c r="C79" s="71" t="s">
        <v>39</v>
      </c>
      <c r="D79" s="71" t="s">
        <v>23</v>
      </c>
      <c r="E79" s="71" t="s">
        <v>33</v>
      </c>
      <c r="F79" s="71" t="s">
        <v>23</v>
      </c>
      <c r="G79" s="71" t="s">
        <v>32</v>
      </c>
      <c r="H79" s="71" t="s">
        <v>23</v>
      </c>
      <c r="I79" s="71" t="s">
        <v>31</v>
      </c>
      <c r="J79" s="71" t="s">
        <v>24</v>
      </c>
      <c r="K79" s="71" t="s">
        <v>23</v>
      </c>
      <c r="L79" s="71" t="s">
        <v>24</v>
      </c>
      <c r="M79" s="71" t="s">
        <v>23</v>
      </c>
      <c r="N79" s="71" t="s">
        <v>23</v>
      </c>
      <c r="O79" s="71" t="s">
        <v>23</v>
      </c>
      <c r="P79" s="71" t="s">
        <v>24</v>
      </c>
      <c r="Q79" s="71" t="s">
        <v>34</v>
      </c>
      <c r="R79" s="107" t="s">
        <v>234</v>
      </c>
      <c r="S79" s="73" t="s">
        <v>59</v>
      </c>
      <c r="T79" s="75"/>
      <c r="U79" s="75"/>
      <c r="V79" s="75">
        <f>V80+V81+V82</f>
        <v>84764.400000000009</v>
      </c>
      <c r="W79" s="75">
        <f>W80+W81+W82</f>
        <v>95374.7</v>
      </c>
      <c r="X79" s="75"/>
      <c r="Y79" s="75"/>
      <c r="Z79" s="75">
        <f>Z80+Z81+Z82</f>
        <v>180139.10000000003</v>
      </c>
      <c r="AA79" s="73">
        <v>2018</v>
      </c>
      <c r="AB79" s="42"/>
      <c r="AC79" s="42"/>
      <c r="AD79" s="42"/>
    </row>
    <row r="80" spans="1:32" s="43" customFormat="1" ht="44.25" x14ac:dyDescent="0.25">
      <c r="A80" s="71" t="s">
        <v>23</v>
      </c>
      <c r="B80" s="71" t="s">
        <v>23</v>
      </c>
      <c r="C80" s="71" t="s">
        <v>39</v>
      </c>
      <c r="D80" s="71" t="s">
        <v>23</v>
      </c>
      <c r="E80" s="71" t="s">
        <v>33</v>
      </c>
      <c r="F80" s="71" t="s">
        <v>23</v>
      </c>
      <c r="G80" s="71" t="s">
        <v>32</v>
      </c>
      <c r="H80" s="71" t="s">
        <v>23</v>
      </c>
      <c r="I80" s="71" t="s">
        <v>31</v>
      </c>
      <c r="J80" s="71" t="s">
        <v>24</v>
      </c>
      <c r="K80" s="71" t="s">
        <v>23</v>
      </c>
      <c r="L80" s="71" t="s">
        <v>24</v>
      </c>
      <c r="M80" s="71" t="s">
        <v>23</v>
      </c>
      <c r="N80" s="71" t="s">
        <v>23</v>
      </c>
      <c r="O80" s="71" t="s">
        <v>23</v>
      </c>
      <c r="P80" s="71" t="s">
        <v>24</v>
      </c>
      <c r="Q80" s="71" t="s">
        <v>34</v>
      </c>
      <c r="R80" s="72" t="s">
        <v>234</v>
      </c>
      <c r="S80" s="73" t="s">
        <v>59</v>
      </c>
      <c r="T80" s="74"/>
      <c r="U80" s="74"/>
      <c r="V80" s="74">
        <v>1711</v>
      </c>
      <c r="W80" s="74">
        <v>1920.5</v>
      </c>
      <c r="X80" s="74"/>
      <c r="Y80" s="74"/>
      <c r="Z80" s="75">
        <f t="shared" ref="Z80:Z82" si="14">T80+U80+V80+W80+X80+Y80</f>
        <v>3631.5</v>
      </c>
      <c r="AA80" s="73">
        <v>2018</v>
      </c>
      <c r="AB80" s="42"/>
      <c r="AC80" s="42"/>
      <c r="AD80" s="42"/>
    </row>
    <row r="81" spans="1:32" s="43" customFormat="1" ht="44.25" x14ac:dyDescent="0.25">
      <c r="A81" s="71" t="s">
        <v>23</v>
      </c>
      <c r="B81" s="71" t="s">
        <v>23</v>
      </c>
      <c r="C81" s="71" t="s">
        <v>39</v>
      </c>
      <c r="D81" s="71" t="s">
        <v>23</v>
      </c>
      <c r="E81" s="71" t="s">
        <v>33</v>
      </c>
      <c r="F81" s="71" t="s">
        <v>23</v>
      </c>
      <c r="G81" s="71" t="s">
        <v>32</v>
      </c>
      <c r="H81" s="71" t="s">
        <v>23</v>
      </c>
      <c r="I81" s="71" t="s">
        <v>31</v>
      </c>
      <c r="J81" s="71" t="s">
        <v>24</v>
      </c>
      <c r="K81" s="71" t="s">
        <v>23</v>
      </c>
      <c r="L81" s="71" t="s">
        <v>24</v>
      </c>
      <c r="M81" s="71" t="s">
        <v>24</v>
      </c>
      <c r="N81" s="71" t="s">
        <v>23</v>
      </c>
      <c r="O81" s="71" t="s">
        <v>39</v>
      </c>
      <c r="P81" s="71" t="s">
        <v>24</v>
      </c>
      <c r="Q81" s="71" t="s">
        <v>211</v>
      </c>
      <c r="R81" s="72" t="s">
        <v>234</v>
      </c>
      <c r="S81" s="73" t="s">
        <v>59</v>
      </c>
      <c r="T81" s="74"/>
      <c r="U81" s="74"/>
      <c r="V81" s="74">
        <v>74898.100000000006</v>
      </c>
      <c r="W81" s="74">
        <v>84108.800000000003</v>
      </c>
      <c r="X81" s="74"/>
      <c r="Y81" s="74"/>
      <c r="Z81" s="75">
        <f t="shared" si="14"/>
        <v>159006.90000000002</v>
      </c>
      <c r="AA81" s="73">
        <v>2018</v>
      </c>
      <c r="AB81" s="42"/>
      <c r="AC81" s="42"/>
      <c r="AD81" s="42"/>
    </row>
    <row r="82" spans="1:32" s="43" customFormat="1" ht="44.25" x14ac:dyDescent="0.25">
      <c r="A82" s="71" t="s">
        <v>23</v>
      </c>
      <c r="B82" s="71" t="s">
        <v>23</v>
      </c>
      <c r="C82" s="71" t="s">
        <v>39</v>
      </c>
      <c r="D82" s="71" t="s">
        <v>23</v>
      </c>
      <c r="E82" s="71" t="s">
        <v>33</v>
      </c>
      <c r="F82" s="71" t="s">
        <v>23</v>
      </c>
      <c r="G82" s="71" t="s">
        <v>32</v>
      </c>
      <c r="H82" s="71" t="s">
        <v>23</v>
      </c>
      <c r="I82" s="71" t="s">
        <v>31</v>
      </c>
      <c r="J82" s="71" t="s">
        <v>24</v>
      </c>
      <c r="K82" s="71" t="s">
        <v>23</v>
      </c>
      <c r="L82" s="71" t="s">
        <v>24</v>
      </c>
      <c r="M82" s="71" t="s">
        <v>180</v>
      </c>
      <c r="N82" s="71" t="s">
        <v>23</v>
      </c>
      <c r="O82" s="71" t="s">
        <v>39</v>
      </c>
      <c r="P82" s="71" t="s">
        <v>24</v>
      </c>
      <c r="Q82" s="71" t="s">
        <v>208</v>
      </c>
      <c r="R82" s="72" t="s">
        <v>234</v>
      </c>
      <c r="S82" s="73" t="s">
        <v>59</v>
      </c>
      <c r="T82" s="74"/>
      <c r="U82" s="74"/>
      <c r="V82" s="74">
        <f>8322-166.7</f>
        <v>8155.3</v>
      </c>
      <c r="W82" s="74">
        <v>9345.4</v>
      </c>
      <c r="X82" s="74"/>
      <c r="Y82" s="74"/>
      <c r="Z82" s="75">
        <f t="shared" si="14"/>
        <v>17500.7</v>
      </c>
      <c r="AA82" s="73">
        <v>2018</v>
      </c>
      <c r="AB82" s="42"/>
      <c r="AC82" s="42"/>
      <c r="AD82" s="42"/>
    </row>
    <row r="83" spans="1:32" s="43" customFormat="1" ht="38.450000000000003" customHeight="1" x14ac:dyDescent="0.25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17" t="s">
        <v>142</v>
      </c>
      <c r="S83" s="15" t="s">
        <v>10</v>
      </c>
      <c r="T83" s="21"/>
      <c r="U83" s="21"/>
      <c r="V83" s="21">
        <v>50</v>
      </c>
      <c r="W83" s="21">
        <v>100</v>
      </c>
      <c r="X83" s="21"/>
      <c r="Y83" s="21"/>
      <c r="Z83" s="6">
        <f>W83</f>
        <v>100</v>
      </c>
      <c r="AA83" s="21">
        <v>2018</v>
      </c>
      <c r="AB83" s="42"/>
      <c r="AC83" s="42"/>
      <c r="AD83" s="42"/>
    </row>
    <row r="84" spans="1:32" s="43" customFormat="1" ht="34.15" customHeight="1" x14ac:dyDescent="0.25">
      <c r="A84" s="40"/>
      <c r="B84" s="40"/>
      <c r="C84" s="40"/>
      <c r="D84" s="40"/>
      <c r="E84" s="40"/>
      <c r="F84" s="40"/>
      <c r="G84" s="40"/>
      <c r="H84" s="40"/>
      <c r="I84" s="41"/>
      <c r="J84" s="40"/>
      <c r="K84" s="40"/>
      <c r="L84" s="40"/>
      <c r="M84" s="40"/>
      <c r="N84" s="40"/>
      <c r="O84" s="40"/>
      <c r="P84" s="40"/>
      <c r="Q84" s="40"/>
      <c r="R84" s="39" t="s">
        <v>240</v>
      </c>
      <c r="S84" s="15" t="s">
        <v>28</v>
      </c>
      <c r="T84" s="21"/>
      <c r="U84" s="21"/>
      <c r="V84" s="6"/>
      <c r="W84" s="8">
        <v>51.5</v>
      </c>
      <c r="X84" s="8"/>
      <c r="Y84" s="8"/>
      <c r="Z84" s="5">
        <f>W84</f>
        <v>51.5</v>
      </c>
      <c r="AA84" s="15">
        <v>2018</v>
      </c>
      <c r="AB84" s="42"/>
      <c r="AC84" s="42"/>
      <c r="AD84" s="42"/>
    </row>
    <row r="85" spans="1:32" s="43" customFormat="1" ht="59.25" x14ac:dyDescent="0.25">
      <c r="A85" s="71" t="s">
        <v>23</v>
      </c>
      <c r="B85" s="71" t="s">
        <v>23</v>
      </c>
      <c r="C85" s="71" t="s">
        <v>39</v>
      </c>
      <c r="D85" s="71" t="s">
        <v>23</v>
      </c>
      <c r="E85" s="71" t="s">
        <v>33</v>
      </c>
      <c r="F85" s="71" t="s">
        <v>23</v>
      </c>
      <c r="G85" s="71" t="s">
        <v>32</v>
      </c>
      <c r="H85" s="71" t="s">
        <v>23</v>
      </c>
      <c r="I85" s="71" t="s">
        <v>31</v>
      </c>
      <c r="J85" s="71" t="s">
        <v>24</v>
      </c>
      <c r="K85" s="71" t="s">
        <v>23</v>
      </c>
      <c r="L85" s="71" t="s">
        <v>24</v>
      </c>
      <c r="M85" s="71" t="s">
        <v>23</v>
      </c>
      <c r="N85" s="71" t="s">
        <v>23</v>
      </c>
      <c r="O85" s="71" t="s">
        <v>23</v>
      </c>
      <c r="P85" s="71" t="s">
        <v>24</v>
      </c>
      <c r="Q85" s="71" t="s">
        <v>33</v>
      </c>
      <c r="R85" s="72" t="s">
        <v>235</v>
      </c>
      <c r="S85" s="73" t="s">
        <v>59</v>
      </c>
      <c r="T85" s="75"/>
      <c r="U85" s="75"/>
      <c r="V85" s="75">
        <f>V86+V87</f>
        <v>1484.3</v>
      </c>
      <c r="W85" s="75"/>
      <c r="X85" s="75"/>
      <c r="Y85" s="75"/>
      <c r="Z85" s="75">
        <f t="shared" ref="Z85:Z86" si="15">T85+U85+V85+W85+X85+Y85</f>
        <v>1484.3</v>
      </c>
      <c r="AA85" s="73">
        <v>2017</v>
      </c>
      <c r="AB85" s="42"/>
      <c r="AC85" s="42"/>
      <c r="AD85" s="42"/>
    </row>
    <row r="86" spans="1:32" s="43" customFormat="1" ht="59.25" x14ac:dyDescent="0.25">
      <c r="A86" s="71" t="s">
        <v>23</v>
      </c>
      <c r="B86" s="71" t="s">
        <v>23</v>
      </c>
      <c r="C86" s="71" t="s">
        <v>39</v>
      </c>
      <c r="D86" s="71" t="s">
        <v>23</v>
      </c>
      <c r="E86" s="71" t="s">
        <v>33</v>
      </c>
      <c r="F86" s="71" t="s">
        <v>23</v>
      </c>
      <c r="G86" s="71" t="s">
        <v>32</v>
      </c>
      <c r="H86" s="71" t="s">
        <v>23</v>
      </c>
      <c r="I86" s="71" t="s">
        <v>31</v>
      </c>
      <c r="J86" s="71" t="s">
        <v>24</v>
      </c>
      <c r="K86" s="71" t="s">
        <v>23</v>
      </c>
      <c r="L86" s="71" t="s">
        <v>24</v>
      </c>
      <c r="M86" s="71" t="s">
        <v>180</v>
      </c>
      <c r="N86" s="71" t="s">
        <v>23</v>
      </c>
      <c r="O86" s="71" t="s">
        <v>24</v>
      </c>
      <c r="P86" s="71" t="s">
        <v>34</v>
      </c>
      <c r="Q86" s="71" t="s">
        <v>211</v>
      </c>
      <c r="R86" s="72" t="s">
        <v>235</v>
      </c>
      <c r="S86" s="73" t="s">
        <v>59</v>
      </c>
      <c r="T86" s="75"/>
      <c r="U86" s="75"/>
      <c r="V86" s="74">
        <v>1377</v>
      </c>
      <c r="W86" s="75"/>
      <c r="X86" s="75"/>
      <c r="Y86" s="75"/>
      <c r="Z86" s="75">
        <f t="shared" si="15"/>
        <v>1377</v>
      </c>
      <c r="AA86" s="73">
        <v>2017</v>
      </c>
      <c r="AB86" s="42"/>
      <c r="AC86" s="42"/>
      <c r="AD86" s="42"/>
    </row>
    <row r="87" spans="1:32" s="43" customFormat="1" ht="65.45" customHeight="1" x14ac:dyDescent="0.25">
      <c r="A87" s="71" t="s">
        <v>23</v>
      </c>
      <c r="B87" s="71" t="s">
        <v>23</v>
      </c>
      <c r="C87" s="71" t="s">
        <v>39</v>
      </c>
      <c r="D87" s="71" t="s">
        <v>23</v>
      </c>
      <c r="E87" s="71" t="s">
        <v>33</v>
      </c>
      <c r="F87" s="71" t="s">
        <v>23</v>
      </c>
      <c r="G87" s="71" t="s">
        <v>32</v>
      </c>
      <c r="H87" s="71" t="s">
        <v>23</v>
      </c>
      <c r="I87" s="71" t="s">
        <v>31</v>
      </c>
      <c r="J87" s="71" t="s">
        <v>24</v>
      </c>
      <c r="K87" s="71" t="s">
        <v>23</v>
      </c>
      <c r="L87" s="71" t="s">
        <v>24</v>
      </c>
      <c r="M87" s="71" t="s">
        <v>180</v>
      </c>
      <c r="N87" s="71" t="s">
        <v>23</v>
      </c>
      <c r="O87" s="71" t="s">
        <v>24</v>
      </c>
      <c r="P87" s="71" t="s">
        <v>34</v>
      </c>
      <c r="Q87" s="71" t="s">
        <v>208</v>
      </c>
      <c r="R87" s="72" t="s">
        <v>235</v>
      </c>
      <c r="S87" s="73" t="s">
        <v>59</v>
      </c>
      <c r="T87" s="75"/>
      <c r="U87" s="75"/>
      <c r="V87" s="74">
        <f>532.9-425.6</f>
        <v>107.29999999999995</v>
      </c>
      <c r="W87" s="75"/>
      <c r="X87" s="75"/>
      <c r="Y87" s="75"/>
      <c r="Z87" s="75">
        <f>T87+U87+V87+W87+X87+Y87</f>
        <v>107.29999999999995</v>
      </c>
      <c r="AA87" s="73">
        <v>2017</v>
      </c>
      <c r="AB87" s="42"/>
      <c r="AC87" s="42"/>
      <c r="AD87" s="42"/>
    </row>
    <row r="88" spans="1:32" s="43" customFormat="1" ht="29.25" x14ac:dyDescent="0.25">
      <c r="A88" s="40"/>
      <c r="B88" s="40"/>
      <c r="C88" s="40"/>
      <c r="D88" s="40"/>
      <c r="E88" s="40"/>
      <c r="F88" s="40"/>
      <c r="G88" s="40"/>
      <c r="H88" s="40"/>
      <c r="I88" s="41"/>
      <c r="J88" s="40"/>
      <c r="K88" s="40"/>
      <c r="L88" s="40"/>
      <c r="M88" s="40"/>
      <c r="N88" s="40"/>
      <c r="O88" s="40"/>
      <c r="P88" s="40"/>
      <c r="Q88" s="40"/>
      <c r="R88" s="39" t="s">
        <v>64</v>
      </c>
      <c r="S88" s="15" t="s">
        <v>54</v>
      </c>
      <c r="T88" s="21"/>
      <c r="U88" s="21"/>
      <c r="V88" s="21">
        <v>1</v>
      </c>
      <c r="W88" s="21"/>
      <c r="X88" s="21"/>
      <c r="Y88" s="21"/>
      <c r="Z88" s="6">
        <f>V88</f>
        <v>1</v>
      </c>
      <c r="AA88" s="15">
        <v>2017</v>
      </c>
      <c r="AB88" s="42"/>
      <c r="AC88" s="42"/>
      <c r="AD88" s="42"/>
    </row>
    <row r="89" spans="1:32" s="65" customFormat="1" ht="42.75" x14ac:dyDescent="0.25">
      <c r="A89" s="63" t="s">
        <v>23</v>
      </c>
      <c r="B89" s="63" t="s">
        <v>24</v>
      </c>
      <c r="C89" s="63" t="s">
        <v>25</v>
      </c>
      <c r="D89" s="63" t="s">
        <v>23</v>
      </c>
      <c r="E89" s="63" t="s">
        <v>33</v>
      </c>
      <c r="F89" s="63" t="s">
        <v>23</v>
      </c>
      <c r="G89" s="63" t="s">
        <v>32</v>
      </c>
      <c r="H89" s="63" t="s">
        <v>23</v>
      </c>
      <c r="I89" s="63" t="s">
        <v>31</v>
      </c>
      <c r="J89" s="63" t="s">
        <v>24</v>
      </c>
      <c r="K89" s="63" t="s">
        <v>23</v>
      </c>
      <c r="L89" s="63" t="s">
        <v>25</v>
      </c>
      <c r="M89" s="63" t="s">
        <v>23</v>
      </c>
      <c r="N89" s="63" t="s">
        <v>23</v>
      </c>
      <c r="O89" s="63" t="s">
        <v>23</v>
      </c>
      <c r="P89" s="63" t="s">
        <v>23</v>
      </c>
      <c r="Q89" s="63" t="s">
        <v>23</v>
      </c>
      <c r="R89" s="64" t="s">
        <v>37</v>
      </c>
      <c r="S89" s="28" t="s">
        <v>59</v>
      </c>
      <c r="T89" s="16">
        <f>T92+T99</f>
        <v>259621.5</v>
      </c>
      <c r="U89" s="16">
        <f>U92+U99</f>
        <v>238774.5</v>
      </c>
      <c r="V89" s="16">
        <f>V91+V99</f>
        <v>822842.49999999988</v>
      </c>
      <c r="W89" s="16">
        <f>W92+W99</f>
        <v>34422.1</v>
      </c>
      <c r="X89" s="16">
        <f>X92+X99</f>
        <v>29348</v>
      </c>
      <c r="Y89" s="16">
        <f>Y92+Y99</f>
        <v>19671.2</v>
      </c>
      <c r="Z89" s="16">
        <f t="shared" si="4"/>
        <v>1404679.8</v>
      </c>
      <c r="AA89" s="28">
        <v>2020</v>
      </c>
      <c r="AB89" s="42"/>
      <c r="AC89" s="42"/>
      <c r="AD89" s="42"/>
      <c r="AE89" s="43"/>
      <c r="AF89" s="43"/>
    </row>
    <row r="90" spans="1:32" s="2" customFormat="1" ht="44.25" x14ac:dyDescent="0.25">
      <c r="A90" s="40"/>
      <c r="B90" s="40"/>
      <c r="C90" s="40"/>
      <c r="D90" s="40"/>
      <c r="E90" s="40"/>
      <c r="F90" s="40"/>
      <c r="G90" s="40"/>
      <c r="H90" s="40"/>
      <c r="I90" s="41"/>
      <c r="J90" s="40"/>
      <c r="K90" s="40"/>
      <c r="L90" s="40"/>
      <c r="M90" s="40"/>
      <c r="N90" s="40"/>
      <c r="O90" s="40"/>
      <c r="P90" s="40"/>
      <c r="Q90" s="40"/>
      <c r="R90" s="39" t="s">
        <v>102</v>
      </c>
      <c r="S90" s="15" t="s">
        <v>60</v>
      </c>
      <c r="T90" s="8">
        <f>T96+T108</f>
        <v>223.1</v>
      </c>
      <c r="U90" s="8">
        <f>U96+U122</f>
        <v>315.7</v>
      </c>
      <c r="V90" s="8">
        <f>V96+V122</f>
        <v>96.9</v>
      </c>
      <c r="W90" s="8">
        <f>W96+W122</f>
        <v>20.8</v>
      </c>
      <c r="X90" s="8">
        <f>X96+X122</f>
        <v>19</v>
      </c>
      <c r="Y90" s="8">
        <f>Y96+Y122</f>
        <v>18.2</v>
      </c>
      <c r="Z90" s="5">
        <f t="shared" si="4"/>
        <v>693.69999999999993</v>
      </c>
      <c r="AA90" s="15">
        <v>2020</v>
      </c>
      <c r="AB90" s="42"/>
      <c r="AC90" s="42"/>
      <c r="AD90" s="42"/>
      <c r="AE90" s="43"/>
      <c r="AF90" s="43"/>
    </row>
    <row r="91" spans="1:32" s="2" customFormat="1" ht="30" x14ac:dyDescent="0.25">
      <c r="A91" s="71" t="s">
        <v>23</v>
      </c>
      <c r="B91" s="71" t="s">
        <v>24</v>
      </c>
      <c r="C91" s="71" t="s">
        <v>25</v>
      </c>
      <c r="D91" s="71" t="s">
        <v>23</v>
      </c>
      <c r="E91" s="71" t="s">
        <v>33</v>
      </c>
      <c r="F91" s="71" t="s">
        <v>23</v>
      </c>
      <c r="G91" s="71" t="s">
        <v>32</v>
      </c>
      <c r="H91" s="71" t="s">
        <v>23</v>
      </c>
      <c r="I91" s="71" t="s">
        <v>31</v>
      </c>
      <c r="J91" s="71" t="s">
        <v>24</v>
      </c>
      <c r="K91" s="71" t="s">
        <v>23</v>
      </c>
      <c r="L91" s="71" t="s">
        <v>25</v>
      </c>
      <c r="M91" s="71" t="s">
        <v>23</v>
      </c>
      <c r="N91" s="71" t="s">
        <v>23</v>
      </c>
      <c r="O91" s="71" t="s">
        <v>23</v>
      </c>
      <c r="P91" s="71" t="s">
        <v>23</v>
      </c>
      <c r="Q91" s="71" t="s">
        <v>23</v>
      </c>
      <c r="R91" s="72" t="s">
        <v>103</v>
      </c>
      <c r="S91" s="73" t="s">
        <v>59</v>
      </c>
      <c r="T91" s="75">
        <f>28017.3+2000-10639.7</f>
        <v>19377.599999999999</v>
      </c>
      <c r="U91" s="75">
        <f>10000+2950-1039.8-1000</f>
        <v>10910.2</v>
      </c>
      <c r="V91" s="75">
        <f>V92+V93+V94</f>
        <v>10318.1</v>
      </c>
      <c r="W91" s="75">
        <v>15000</v>
      </c>
      <c r="X91" s="75">
        <v>8000</v>
      </c>
      <c r="Y91" s="75">
        <v>2958.3</v>
      </c>
      <c r="Z91" s="75">
        <f t="shared" ref="Z91" si="16">T91+U91+V91+W91+X91+Y91</f>
        <v>66564.2</v>
      </c>
      <c r="AA91" s="73">
        <v>2020</v>
      </c>
      <c r="AB91" s="42"/>
      <c r="AC91" s="42"/>
      <c r="AD91" s="42"/>
      <c r="AE91" s="43"/>
      <c r="AF91" s="43"/>
    </row>
    <row r="92" spans="1:32" ht="30" x14ac:dyDescent="0.25">
      <c r="A92" s="71" t="s">
        <v>23</v>
      </c>
      <c r="B92" s="71" t="s">
        <v>24</v>
      </c>
      <c r="C92" s="71" t="s">
        <v>25</v>
      </c>
      <c r="D92" s="71" t="s">
        <v>23</v>
      </c>
      <c r="E92" s="71" t="s">
        <v>33</v>
      </c>
      <c r="F92" s="71" t="s">
        <v>23</v>
      </c>
      <c r="G92" s="71" t="s">
        <v>32</v>
      </c>
      <c r="H92" s="71" t="s">
        <v>23</v>
      </c>
      <c r="I92" s="71" t="s">
        <v>31</v>
      </c>
      <c r="J92" s="71" t="s">
        <v>24</v>
      </c>
      <c r="K92" s="71" t="s">
        <v>23</v>
      </c>
      <c r="L92" s="71" t="s">
        <v>25</v>
      </c>
      <c r="M92" s="71" t="s">
        <v>23</v>
      </c>
      <c r="N92" s="71" t="s">
        <v>23</v>
      </c>
      <c r="O92" s="71" t="s">
        <v>23</v>
      </c>
      <c r="P92" s="71" t="s">
        <v>23</v>
      </c>
      <c r="Q92" s="71" t="s">
        <v>23</v>
      </c>
      <c r="R92" s="72" t="s">
        <v>103</v>
      </c>
      <c r="S92" s="73" t="s">
        <v>59</v>
      </c>
      <c r="T92" s="74">
        <f>28017.3+2000-10639.7</f>
        <v>19377.599999999999</v>
      </c>
      <c r="U92" s="74">
        <f>10000+2950-1039.8-1000</f>
        <v>10910.2</v>
      </c>
      <c r="V92" s="74">
        <v>1121.5</v>
      </c>
      <c r="W92" s="74">
        <v>15000</v>
      </c>
      <c r="X92" s="74">
        <v>8000</v>
      </c>
      <c r="Y92" s="74">
        <v>2958.3</v>
      </c>
      <c r="Z92" s="75">
        <f t="shared" si="4"/>
        <v>57367.600000000006</v>
      </c>
      <c r="AA92" s="73">
        <v>2020</v>
      </c>
      <c r="AB92" s="47"/>
    </row>
    <row r="93" spans="1:32" ht="30" x14ac:dyDescent="0.25">
      <c r="A93" s="71" t="s">
        <v>23</v>
      </c>
      <c r="B93" s="71" t="s">
        <v>24</v>
      </c>
      <c r="C93" s="71" t="s">
        <v>25</v>
      </c>
      <c r="D93" s="71" t="s">
        <v>23</v>
      </c>
      <c r="E93" s="71" t="s">
        <v>33</v>
      </c>
      <c r="F93" s="71" t="s">
        <v>23</v>
      </c>
      <c r="G93" s="71" t="s">
        <v>32</v>
      </c>
      <c r="H93" s="71" t="s">
        <v>23</v>
      </c>
      <c r="I93" s="71" t="s">
        <v>31</v>
      </c>
      <c r="J93" s="71" t="s">
        <v>24</v>
      </c>
      <c r="K93" s="71" t="s">
        <v>23</v>
      </c>
      <c r="L93" s="71" t="s">
        <v>25</v>
      </c>
      <c r="M93" s="71" t="s">
        <v>180</v>
      </c>
      <c r="N93" s="71" t="s">
        <v>23</v>
      </c>
      <c r="O93" s="71" t="s">
        <v>25</v>
      </c>
      <c r="P93" s="71" t="s">
        <v>23</v>
      </c>
      <c r="Q93" s="71" t="s">
        <v>208</v>
      </c>
      <c r="R93" s="72" t="s">
        <v>103</v>
      </c>
      <c r="S93" s="73" t="s">
        <v>59</v>
      </c>
      <c r="T93" s="74"/>
      <c r="U93" s="74"/>
      <c r="V93" s="74">
        <v>2499.6</v>
      </c>
      <c r="W93" s="74"/>
      <c r="X93" s="74"/>
      <c r="Y93" s="74"/>
      <c r="Z93" s="75">
        <f>V93</f>
        <v>2499.6</v>
      </c>
      <c r="AA93" s="73">
        <v>2017</v>
      </c>
      <c r="AB93" s="47"/>
    </row>
    <row r="94" spans="1:32" ht="30" x14ac:dyDescent="0.25">
      <c r="A94" s="71" t="s">
        <v>23</v>
      </c>
      <c r="B94" s="71" t="s">
        <v>24</v>
      </c>
      <c r="C94" s="71" t="s">
        <v>25</v>
      </c>
      <c r="D94" s="71" t="s">
        <v>23</v>
      </c>
      <c r="E94" s="71" t="s">
        <v>33</v>
      </c>
      <c r="F94" s="71" t="s">
        <v>23</v>
      </c>
      <c r="G94" s="71" t="s">
        <v>32</v>
      </c>
      <c r="H94" s="71" t="s">
        <v>23</v>
      </c>
      <c r="I94" s="71" t="s">
        <v>31</v>
      </c>
      <c r="J94" s="71" t="s">
        <v>24</v>
      </c>
      <c r="K94" s="71" t="s">
        <v>23</v>
      </c>
      <c r="L94" s="71" t="s">
        <v>25</v>
      </c>
      <c r="M94" s="71" t="s">
        <v>24</v>
      </c>
      <c r="N94" s="71" t="s">
        <v>23</v>
      </c>
      <c r="O94" s="71" t="s">
        <v>25</v>
      </c>
      <c r="P94" s="71" t="s">
        <v>23</v>
      </c>
      <c r="Q94" s="71" t="s">
        <v>211</v>
      </c>
      <c r="R94" s="72" t="s">
        <v>103</v>
      </c>
      <c r="S94" s="73" t="s">
        <v>59</v>
      </c>
      <c r="T94" s="74"/>
      <c r="U94" s="74"/>
      <c r="V94" s="74">
        <v>6697</v>
      </c>
      <c r="W94" s="74"/>
      <c r="X94" s="74"/>
      <c r="Y94" s="74"/>
      <c r="Z94" s="75">
        <f>V94</f>
        <v>6697</v>
      </c>
      <c r="AA94" s="73">
        <v>2017</v>
      </c>
      <c r="AB94" s="47"/>
    </row>
    <row r="95" spans="1:32" ht="44.25" x14ac:dyDescent="0.25">
      <c r="A95" s="40"/>
      <c r="B95" s="40"/>
      <c r="C95" s="40"/>
      <c r="D95" s="40"/>
      <c r="E95" s="40"/>
      <c r="F95" s="40"/>
      <c r="G95" s="40"/>
      <c r="H95" s="40"/>
      <c r="I95" s="41"/>
      <c r="J95" s="40"/>
      <c r="K95" s="40"/>
      <c r="L95" s="40"/>
      <c r="M95" s="40"/>
      <c r="N95" s="40"/>
      <c r="O95" s="40"/>
      <c r="P95" s="40"/>
      <c r="Q95" s="40"/>
      <c r="R95" s="39" t="s">
        <v>104</v>
      </c>
      <c r="S95" s="15" t="s">
        <v>55</v>
      </c>
      <c r="T95" s="21">
        <v>2</v>
      </c>
      <c r="U95" s="21">
        <v>1</v>
      </c>
      <c r="V95" s="21"/>
      <c r="W95" s="21">
        <v>1</v>
      </c>
      <c r="X95" s="21"/>
      <c r="Y95" s="21"/>
      <c r="Z95" s="6">
        <f t="shared" si="4"/>
        <v>4</v>
      </c>
      <c r="AA95" s="15">
        <v>2018</v>
      </c>
      <c r="AB95" s="47"/>
    </row>
    <row r="96" spans="1:32" ht="45" x14ac:dyDescent="0.25">
      <c r="A96" s="41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17" t="s">
        <v>105</v>
      </c>
      <c r="S96" s="15" t="s">
        <v>60</v>
      </c>
      <c r="T96" s="8">
        <v>8</v>
      </c>
      <c r="U96" s="8">
        <v>6.8</v>
      </c>
      <c r="V96" s="8"/>
      <c r="W96" s="8">
        <v>1.8</v>
      </c>
      <c r="X96" s="8">
        <v>1</v>
      </c>
      <c r="Y96" s="8">
        <v>0.2</v>
      </c>
      <c r="Z96" s="5">
        <f t="shared" si="4"/>
        <v>17.8</v>
      </c>
      <c r="AA96" s="15">
        <v>2020</v>
      </c>
    </row>
    <row r="97" spans="1:27" ht="30" x14ac:dyDescent="0.25">
      <c r="A97" s="41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17" t="s">
        <v>212</v>
      </c>
      <c r="S97" s="15" t="s">
        <v>55</v>
      </c>
      <c r="T97" s="21"/>
      <c r="U97" s="21"/>
      <c r="V97" s="21">
        <v>1</v>
      </c>
      <c r="W97" s="21"/>
      <c r="X97" s="21"/>
      <c r="Y97" s="21"/>
      <c r="Z97" s="6">
        <f>V97</f>
        <v>1</v>
      </c>
      <c r="AA97" s="15">
        <v>2017</v>
      </c>
    </row>
    <row r="98" spans="1:27" ht="31.15" customHeight="1" x14ac:dyDescent="0.25">
      <c r="A98" s="41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17" t="s">
        <v>213</v>
      </c>
      <c r="S98" s="15" t="s">
        <v>28</v>
      </c>
      <c r="T98" s="8"/>
      <c r="U98" s="8"/>
      <c r="V98" s="8">
        <f>168</f>
        <v>168</v>
      </c>
      <c r="W98" s="8"/>
      <c r="X98" s="8"/>
      <c r="Y98" s="8"/>
      <c r="Z98" s="5">
        <f>V98</f>
        <v>168</v>
      </c>
      <c r="AA98" s="15">
        <v>2017</v>
      </c>
    </row>
    <row r="99" spans="1:27" ht="30" x14ac:dyDescent="0.25">
      <c r="A99" s="71"/>
      <c r="B99" s="71"/>
      <c r="C99" s="71"/>
      <c r="D99" s="71" t="s">
        <v>23</v>
      </c>
      <c r="E99" s="71" t="s">
        <v>33</v>
      </c>
      <c r="F99" s="71" t="s">
        <v>23</v>
      </c>
      <c r="G99" s="71" t="s">
        <v>32</v>
      </c>
      <c r="H99" s="71" t="s">
        <v>23</v>
      </c>
      <c r="I99" s="71" t="s">
        <v>31</v>
      </c>
      <c r="J99" s="71" t="s">
        <v>24</v>
      </c>
      <c r="K99" s="71" t="s">
        <v>23</v>
      </c>
      <c r="L99" s="71" t="s">
        <v>25</v>
      </c>
      <c r="M99" s="71" t="s">
        <v>23</v>
      </c>
      <c r="N99" s="71" t="s">
        <v>23</v>
      </c>
      <c r="O99" s="71" t="s">
        <v>23</v>
      </c>
      <c r="P99" s="71" t="s">
        <v>23</v>
      </c>
      <c r="Q99" s="71" t="s">
        <v>23</v>
      </c>
      <c r="R99" s="72" t="s">
        <v>106</v>
      </c>
      <c r="S99" s="73" t="s">
        <v>59</v>
      </c>
      <c r="T99" s="75">
        <f>T100+T101</f>
        <v>240243.9</v>
      </c>
      <c r="U99" s="75">
        <f>U109+U111+U114+U115+U116</f>
        <v>227864.3</v>
      </c>
      <c r="V99" s="75">
        <f>V100+V101+V102+V103+V104+V105+V106+V107</f>
        <v>812524.39999999991</v>
      </c>
      <c r="W99" s="75">
        <f t="shared" ref="W99:Y99" si="17">W109+W111+W114</f>
        <v>19422.099999999999</v>
      </c>
      <c r="X99" s="75">
        <f t="shared" si="17"/>
        <v>21348</v>
      </c>
      <c r="Y99" s="75">
        <f t="shared" si="17"/>
        <v>16712.900000000001</v>
      </c>
      <c r="Z99" s="75">
        <f>Z100+Z101+Z102+Z103+Z104+Z105+Z106+Z107</f>
        <v>1338115.6000000001</v>
      </c>
      <c r="AA99" s="73">
        <v>2020</v>
      </c>
    </row>
    <row r="100" spans="1:27" ht="30" x14ac:dyDescent="0.25">
      <c r="A100" s="71"/>
      <c r="B100" s="71"/>
      <c r="C100" s="71"/>
      <c r="D100" s="71" t="s">
        <v>23</v>
      </c>
      <c r="E100" s="71" t="s">
        <v>33</v>
      </c>
      <c r="F100" s="71" t="s">
        <v>23</v>
      </c>
      <c r="G100" s="71" t="s">
        <v>32</v>
      </c>
      <c r="H100" s="71" t="s">
        <v>23</v>
      </c>
      <c r="I100" s="71" t="s">
        <v>31</v>
      </c>
      <c r="J100" s="71" t="s">
        <v>24</v>
      </c>
      <c r="K100" s="71" t="s">
        <v>25</v>
      </c>
      <c r="L100" s="71" t="s">
        <v>23</v>
      </c>
      <c r="M100" s="71" t="s">
        <v>23</v>
      </c>
      <c r="N100" s="71" t="s">
        <v>23</v>
      </c>
      <c r="O100" s="71" t="s">
        <v>23</v>
      </c>
      <c r="P100" s="71" t="s">
        <v>23</v>
      </c>
      <c r="Q100" s="71" t="s">
        <v>23</v>
      </c>
      <c r="R100" s="72" t="s">
        <v>106</v>
      </c>
      <c r="S100" s="73" t="s">
        <v>59</v>
      </c>
      <c r="T100" s="74">
        <f>T109+T111+T114</f>
        <v>206053.3</v>
      </c>
      <c r="U100" s="74">
        <f>U114</f>
        <v>27864.3</v>
      </c>
      <c r="V100" s="74">
        <f t="shared" ref="V100" si="18">V114</f>
        <v>5989.9999999999991</v>
      </c>
      <c r="W100" s="74">
        <f t="shared" ref="W100:Y100" si="19">W114</f>
        <v>19422.099999999999</v>
      </c>
      <c r="X100" s="74">
        <f t="shared" si="19"/>
        <v>21348</v>
      </c>
      <c r="Y100" s="74">
        <f t="shared" si="19"/>
        <v>16712.900000000001</v>
      </c>
      <c r="Z100" s="75">
        <f t="shared" si="4"/>
        <v>297390.59999999998</v>
      </c>
      <c r="AA100" s="73">
        <v>2020</v>
      </c>
    </row>
    <row r="101" spans="1:27" ht="30" x14ac:dyDescent="0.25">
      <c r="A101" s="71"/>
      <c r="B101" s="71"/>
      <c r="C101" s="71"/>
      <c r="D101" s="71" t="s">
        <v>23</v>
      </c>
      <c r="E101" s="71" t="s">
        <v>33</v>
      </c>
      <c r="F101" s="71" t="s">
        <v>23</v>
      </c>
      <c r="G101" s="71" t="s">
        <v>32</v>
      </c>
      <c r="H101" s="71" t="s">
        <v>23</v>
      </c>
      <c r="I101" s="71" t="s">
        <v>31</v>
      </c>
      <c r="J101" s="71" t="s">
        <v>24</v>
      </c>
      <c r="K101" s="71" t="s">
        <v>35</v>
      </c>
      <c r="L101" s="71" t="s">
        <v>33</v>
      </c>
      <c r="M101" s="71" t="s">
        <v>23</v>
      </c>
      <c r="N101" s="71" t="s">
        <v>25</v>
      </c>
      <c r="O101" s="71" t="s">
        <v>23</v>
      </c>
      <c r="P101" s="71" t="s">
        <v>23</v>
      </c>
      <c r="Q101" s="71" t="s">
        <v>23</v>
      </c>
      <c r="R101" s="72" t="s">
        <v>106</v>
      </c>
      <c r="S101" s="73" t="s">
        <v>59</v>
      </c>
      <c r="T101" s="74">
        <f>T115</f>
        <v>34190.6</v>
      </c>
      <c r="U101" s="74"/>
      <c r="V101" s="74"/>
      <c r="W101" s="74"/>
      <c r="X101" s="74"/>
      <c r="Y101" s="74"/>
      <c r="Z101" s="75">
        <f t="shared" si="4"/>
        <v>34190.6</v>
      </c>
      <c r="AA101" s="73">
        <v>2015</v>
      </c>
    </row>
    <row r="102" spans="1:27" ht="30" x14ac:dyDescent="0.25">
      <c r="A102" s="71"/>
      <c r="B102" s="71"/>
      <c r="C102" s="71"/>
      <c r="D102" s="71" t="s">
        <v>23</v>
      </c>
      <c r="E102" s="71" t="s">
        <v>33</v>
      </c>
      <c r="F102" s="71" t="s">
        <v>23</v>
      </c>
      <c r="G102" s="71" t="s">
        <v>32</v>
      </c>
      <c r="H102" s="71" t="s">
        <v>23</v>
      </c>
      <c r="I102" s="71" t="s">
        <v>31</v>
      </c>
      <c r="J102" s="71" t="s">
        <v>24</v>
      </c>
      <c r="K102" s="71" t="s">
        <v>23</v>
      </c>
      <c r="L102" s="71" t="s">
        <v>25</v>
      </c>
      <c r="M102" s="71" t="s">
        <v>30</v>
      </c>
      <c r="N102" s="71" t="s">
        <v>33</v>
      </c>
      <c r="O102" s="71" t="s">
        <v>25</v>
      </c>
      <c r="P102" s="71" t="s">
        <v>23</v>
      </c>
      <c r="Q102" s="71" t="s">
        <v>178</v>
      </c>
      <c r="R102" s="72" t="s">
        <v>106</v>
      </c>
      <c r="S102" s="73" t="s">
        <v>59</v>
      </c>
      <c r="T102" s="74"/>
      <c r="U102" s="74">
        <v>200000</v>
      </c>
      <c r="V102" s="74"/>
      <c r="W102" s="74"/>
      <c r="X102" s="74"/>
      <c r="Y102" s="74"/>
      <c r="Z102" s="75">
        <f>T102+U102+V102+W102+X102+Y102</f>
        <v>200000</v>
      </c>
      <c r="AA102" s="73">
        <v>2016</v>
      </c>
    </row>
    <row r="103" spans="1:27" ht="30" x14ac:dyDescent="0.25">
      <c r="A103" s="71"/>
      <c r="B103" s="71"/>
      <c r="C103" s="71"/>
      <c r="D103" s="71" t="s">
        <v>23</v>
      </c>
      <c r="E103" s="71" t="s">
        <v>33</v>
      </c>
      <c r="F103" s="71" t="s">
        <v>23</v>
      </c>
      <c r="G103" s="71" t="s">
        <v>32</v>
      </c>
      <c r="H103" s="71" t="s">
        <v>23</v>
      </c>
      <c r="I103" s="71" t="s">
        <v>31</v>
      </c>
      <c r="J103" s="71" t="s">
        <v>24</v>
      </c>
      <c r="K103" s="71" t="s">
        <v>23</v>
      </c>
      <c r="L103" s="71" t="s">
        <v>25</v>
      </c>
      <c r="M103" s="71" t="s">
        <v>180</v>
      </c>
      <c r="N103" s="71" t="s">
        <v>23</v>
      </c>
      <c r="O103" s="71" t="s">
        <v>25</v>
      </c>
      <c r="P103" s="71" t="s">
        <v>23</v>
      </c>
      <c r="Q103" s="71" t="s">
        <v>208</v>
      </c>
      <c r="R103" s="72" t="s">
        <v>106</v>
      </c>
      <c r="S103" s="73" t="s">
        <v>59</v>
      </c>
      <c r="T103" s="74"/>
      <c r="U103" s="75"/>
      <c r="V103" s="74">
        <f t="shared" ref="V103" si="20">V117</f>
        <v>29999.7</v>
      </c>
      <c r="W103" s="74"/>
      <c r="X103" s="74"/>
      <c r="Y103" s="74"/>
      <c r="Z103" s="75">
        <f>V103</f>
        <v>29999.7</v>
      </c>
      <c r="AA103" s="73">
        <v>2017</v>
      </c>
    </row>
    <row r="104" spans="1:27" ht="30" x14ac:dyDescent="0.25">
      <c r="A104" s="71"/>
      <c r="B104" s="71"/>
      <c r="C104" s="71"/>
      <c r="D104" s="71" t="s">
        <v>23</v>
      </c>
      <c r="E104" s="71" t="s">
        <v>33</v>
      </c>
      <c r="F104" s="71" t="s">
        <v>23</v>
      </c>
      <c r="G104" s="71" t="s">
        <v>32</v>
      </c>
      <c r="H104" s="71" t="s">
        <v>23</v>
      </c>
      <c r="I104" s="71" t="s">
        <v>31</v>
      </c>
      <c r="J104" s="71" t="s">
        <v>24</v>
      </c>
      <c r="K104" s="71" t="s">
        <v>23</v>
      </c>
      <c r="L104" s="71" t="s">
        <v>25</v>
      </c>
      <c r="M104" s="71" t="s">
        <v>24</v>
      </c>
      <c r="N104" s="71" t="s">
        <v>23</v>
      </c>
      <c r="O104" s="71" t="s">
        <v>25</v>
      </c>
      <c r="P104" s="71" t="s">
        <v>23</v>
      </c>
      <c r="Q104" s="71" t="s">
        <v>211</v>
      </c>
      <c r="R104" s="72" t="s">
        <v>106</v>
      </c>
      <c r="S104" s="73" t="s">
        <v>59</v>
      </c>
      <c r="T104" s="74"/>
      <c r="U104" s="74"/>
      <c r="V104" s="74">
        <f t="shared" ref="V104" si="21">V118</f>
        <v>179937.9</v>
      </c>
      <c r="W104" s="74"/>
      <c r="X104" s="74"/>
      <c r="Y104" s="74"/>
      <c r="Z104" s="75">
        <f>V104</f>
        <v>179937.9</v>
      </c>
      <c r="AA104" s="73">
        <v>2017</v>
      </c>
    </row>
    <row r="105" spans="1:27" ht="30" x14ac:dyDescent="0.25">
      <c r="A105" s="71"/>
      <c r="B105" s="71"/>
      <c r="C105" s="71"/>
      <c r="D105" s="71" t="s">
        <v>23</v>
      </c>
      <c r="E105" s="71" t="s">
        <v>33</v>
      </c>
      <c r="F105" s="71" t="s">
        <v>23</v>
      </c>
      <c r="G105" s="71" t="s">
        <v>32</v>
      </c>
      <c r="H105" s="71" t="s">
        <v>23</v>
      </c>
      <c r="I105" s="71" t="s">
        <v>31</v>
      </c>
      <c r="J105" s="71" t="s">
        <v>24</v>
      </c>
      <c r="K105" s="71" t="s">
        <v>23</v>
      </c>
      <c r="L105" s="71" t="s">
        <v>25</v>
      </c>
      <c r="M105" s="71" t="s">
        <v>24</v>
      </c>
      <c r="N105" s="71" t="s">
        <v>23</v>
      </c>
      <c r="O105" s="71" t="s">
        <v>39</v>
      </c>
      <c r="P105" s="71" t="s">
        <v>24</v>
      </c>
      <c r="Q105" s="71" t="s">
        <v>211</v>
      </c>
      <c r="R105" s="72" t="s">
        <v>106</v>
      </c>
      <c r="S105" s="73" t="s">
        <v>59</v>
      </c>
      <c r="T105" s="74"/>
      <c r="U105" s="74"/>
      <c r="V105" s="74">
        <f t="shared" ref="V105:V107" si="22">V119</f>
        <v>75420</v>
      </c>
      <c r="W105" s="74"/>
      <c r="X105" s="74"/>
      <c r="Y105" s="74"/>
      <c r="Z105" s="75">
        <f>V105</f>
        <v>75420</v>
      </c>
      <c r="AA105" s="73">
        <v>2017</v>
      </c>
    </row>
    <row r="106" spans="1:27" ht="30" x14ac:dyDescent="0.25">
      <c r="A106" s="71"/>
      <c r="B106" s="71"/>
      <c r="C106" s="71"/>
      <c r="D106" s="71" t="s">
        <v>23</v>
      </c>
      <c r="E106" s="71" t="s">
        <v>33</v>
      </c>
      <c r="F106" s="71" t="s">
        <v>23</v>
      </c>
      <c r="G106" s="71" t="s">
        <v>32</v>
      </c>
      <c r="H106" s="71" t="s">
        <v>23</v>
      </c>
      <c r="I106" s="71" t="s">
        <v>31</v>
      </c>
      <c r="J106" s="71" t="s">
        <v>24</v>
      </c>
      <c r="K106" s="71" t="s">
        <v>23</v>
      </c>
      <c r="L106" s="71" t="s">
        <v>25</v>
      </c>
      <c r="M106" s="71" t="s">
        <v>30</v>
      </c>
      <c r="N106" s="71" t="s">
        <v>34</v>
      </c>
      <c r="O106" s="71" t="s">
        <v>32</v>
      </c>
      <c r="P106" s="71" t="s">
        <v>23</v>
      </c>
      <c r="Q106" s="71" t="s">
        <v>211</v>
      </c>
      <c r="R106" s="72" t="s">
        <v>106</v>
      </c>
      <c r="S106" s="73" t="s">
        <v>59</v>
      </c>
      <c r="T106" s="74"/>
      <c r="U106" s="74"/>
      <c r="V106" s="74">
        <f t="shared" si="22"/>
        <v>6976.8</v>
      </c>
      <c r="W106" s="74"/>
      <c r="X106" s="74"/>
      <c r="Y106" s="74"/>
      <c r="Z106" s="75">
        <f>V106</f>
        <v>6976.8</v>
      </c>
      <c r="AA106" s="73">
        <v>2017</v>
      </c>
    </row>
    <row r="107" spans="1:27" ht="30" x14ac:dyDescent="0.25">
      <c r="A107" s="71"/>
      <c r="B107" s="71"/>
      <c r="C107" s="71"/>
      <c r="D107" s="71" t="s">
        <v>23</v>
      </c>
      <c r="E107" s="71" t="s">
        <v>33</v>
      </c>
      <c r="F107" s="71" t="s">
        <v>23</v>
      </c>
      <c r="G107" s="71" t="s">
        <v>32</v>
      </c>
      <c r="H107" s="71" t="s">
        <v>23</v>
      </c>
      <c r="I107" s="71" t="s">
        <v>31</v>
      </c>
      <c r="J107" s="71" t="s">
        <v>24</v>
      </c>
      <c r="K107" s="71" t="s">
        <v>23</v>
      </c>
      <c r="L107" s="71" t="s">
        <v>25</v>
      </c>
      <c r="M107" s="71" t="s">
        <v>39</v>
      </c>
      <c r="N107" s="71" t="s">
        <v>39</v>
      </c>
      <c r="O107" s="71" t="s">
        <v>23</v>
      </c>
      <c r="P107" s="71" t="s">
        <v>23</v>
      </c>
      <c r="Q107" s="71" t="s">
        <v>23</v>
      </c>
      <c r="R107" s="72" t="s">
        <v>106</v>
      </c>
      <c r="S107" s="73" t="s">
        <v>59</v>
      </c>
      <c r="T107" s="74"/>
      <c r="U107" s="74"/>
      <c r="V107" s="74">
        <f t="shared" si="22"/>
        <v>514200</v>
      </c>
      <c r="W107" s="74"/>
      <c r="X107" s="74"/>
      <c r="Y107" s="74"/>
      <c r="Z107" s="75">
        <f>V107</f>
        <v>514200</v>
      </c>
      <c r="AA107" s="73">
        <v>2017</v>
      </c>
    </row>
    <row r="108" spans="1:27" ht="45" x14ac:dyDescent="0.25">
      <c r="A108" s="41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17" t="s">
        <v>107</v>
      </c>
      <c r="S108" s="15" t="s">
        <v>60</v>
      </c>
      <c r="T108" s="8">
        <f t="shared" ref="T108:Y108" si="23">T110+T112+T122</f>
        <v>215.1</v>
      </c>
      <c r="U108" s="8">
        <f t="shared" si="23"/>
        <v>308.89999999999998</v>
      </c>
      <c r="V108" s="8">
        <f t="shared" si="23"/>
        <v>96.9</v>
      </c>
      <c r="W108" s="8">
        <f t="shared" si="23"/>
        <v>19</v>
      </c>
      <c r="X108" s="8">
        <f t="shared" si="23"/>
        <v>18</v>
      </c>
      <c r="Y108" s="8">
        <f t="shared" si="23"/>
        <v>18</v>
      </c>
      <c r="Z108" s="5">
        <f t="shared" si="4"/>
        <v>675.9</v>
      </c>
      <c r="AA108" s="15">
        <v>2020</v>
      </c>
    </row>
    <row r="109" spans="1:27" ht="30" x14ac:dyDescent="0.25">
      <c r="A109" s="71" t="s">
        <v>23</v>
      </c>
      <c r="B109" s="71" t="s">
        <v>23</v>
      </c>
      <c r="C109" s="71" t="s">
        <v>34</v>
      </c>
      <c r="D109" s="71" t="s">
        <v>23</v>
      </c>
      <c r="E109" s="71" t="s">
        <v>33</v>
      </c>
      <c r="F109" s="71" t="s">
        <v>23</v>
      </c>
      <c r="G109" s="71" t="s">
        <v>32</v>
      </c>
      <c r="H109" s="71" t="s">
        <v>23</v>
      </c>
      <c r="I109" s="71" t="s">
        <v>31</v>
      </c>
      <c r="J109" s="71" t="s">
        <v>24</v>
      </c>
      <c r="K109" s="71" t="s">
        <v>23</v>
      </c>
      <c r="L109" s="71" t="s">
        <v>25</v>
      </c>
      <c r="M109" s="71" t="s">
        <v>23</v>
      </c>
      <c r="N109" s="71" t="s">
        <v>23</v>
      </c>
      <c r="O109" s="71" t="s">
        <v>23</v>
      </c>
      <c r="P109" s="71" t="s">
        <v>23</v>
      </c>
      <c r="Q109" s="71" t="s">
        <v>23</v>
      </c>
      <c r="R109" s="72" t="s">
        <v>106</v>
      </c>
      <c r="S109" s="73" t="s">
        <v>59</v>
      </c>
      <c r="T109" s="74">
        <v>1300</v>
      </c>
      <c r="U109" s="74"/>
      <c r="V109" s="74"/>
      <c r="W109" s="74"/>
      <c r="X109" s="74"/>
      <c r="Y109" s="74"/>
      <c r="Z109" s="75">
        <f t="shared" si="4"/>
        <v>1300</v>
      </c>
      <c r="AA109" s="73">
        <v>2015</v>
      </c>
    </row>
    <row r="110" spans="1:27" ht="45" x14ac:dyDescent="0.25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17" t="s">
        <v>108</v>
      </c>
      <c r="S110" s="15" t="s">
        <v>60</v>
      </c>
      <c r="T110" s="8">
        <v>0.3</v>
      </c>
      <c r="U110" s="8"/>
      <c r="V110" s="8"/>
      <c r="W110" s="8"/>
      <c r="X110" s="8"/>
      <c r="Y110" s="8"/>
      <c r="Z110" s="5">
        <f t="shared" si="4"/>
        <v>0.3</v>
      </c>
      <c r="AA110" s="15">
        <v>2015</v>
      </c>
    </row>
    <row r="111" spans="1:27" ht="30" x14ac:dyDescent="0.25">
      <c r="A111" s="71" t="s">
        <v>23</v>
      </c>
      <c r="B111" s="71" t="s">
        <v>23</v>
      </c>
      <c r="C111" s="71" t="s">
        <v>33</v>
      </c>
      <c r="D111" s="71" t="s">
        <v>23</v>
      </c>
      <c r="E111" s="71" t="s">
        <v>33</v>
      </c>
      <c r="F111" s="71" t="s">
        <v>23</v>
      </c>
      <c r="G111" s="71" t="s">
        <v>32</v>
      </c>
      <c r="H111" s="71" t="s">
        <v>23</v>
      </c>
      <c r="I111" s="71" t="s">
        <v>31</v>
      </c>
      <c r="J111" s="71" t="s">
        <v>24</v>
      </c>
      <c r="K111" s="71" t="s">
        <v>23</v>
      </c>
      <c r="L111" s="71" t="s">
        <v>25</v>
      </c>
      <c r="M111" s="71" t="s">
        <v>23</v>
      </c>
      <c r="N111" s="71" t="s">
        <v>23</v>
      </c>
      <c r="O111" s="71" t="s">
        <v>23</v>
      </c>
      <c r="P111" s="71" t="s">
        <v>23</v>
      </c>
      <c r="Q111" s="71" t="s">
        <v>23</v>
      </c>
      <c r="R111" s="72" t="s">
        <v>106</v>
      </c>
      <c r="S111" s="73" t="s">
        <v>59</v>
      </c>
      <c r="T111" s="74">
        <f>1881-310</f>
        <v>1571</v>
      </c>
      <c r="U111" s="74"/>
      <c r="V111" s="74"/>
      <c r="W111" s="74"/>
      <c r="X111" s="74"/>
      <c r="Y111" s="74"/>
      <c r="Z111" s="75">
        <f t="shared" si="4"/>
        <v>1571</v>
      </c>
      <c r="AA111" s="73">
        <v>2015</v>
      </c>
    </row>
    <row r="112" spans="1:27" ht="45" x14ac:dyDescent="0.25">
      <c r="A112" s="41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17" t="s">
        <v>109</v>
      </c>
      <c r="S112" s="15" t="s">
        <v>60</v>
      </c>
      <c r="T112" s="8">
        <v>1.3</v>
      </c>
      <c r="U112" s="8"/>
      <c r="V112" s="8"/>
      <c r="W112" s="8"/>
      <c r="X112" s="8"/>
      <c r="Y112" s="8"/>
      <c r="Z112" s="5">
        <f t="shared" si="4"/>
        <v>1.3</v>
      </c>
      <c r="AA112" s="15">
        <v>2015</v>
      </c>
    </row>
    <row r="113" spans="1:32" ht="30" x14ac:dyDescent="0.25">
      <c r="A113" s="71" t="s">
        <v>23</v>
      </c>
      <c r="B113" s="71" t="s">
        <v>24</v>
      </c>
      <c r="C113" s="71" t="s">
        <v>25</v>
      </c>
      <c r="D113" s="71" t="s">
        <v>23</v>
      </c>
      <c r="E113" s="71" t="s">
        <v>33</v>
      </c>
      <c r="F113" s="71" t="s">
        <v>23</v>
      </c>
      <c r="G113" s="71" t="s">
        <v>32</v>
      </c>
      <c r="H113" s="71" t="s">
        <v>23</v>
      </c>
      <c r="I113" s="71" t="s">
        <v>31</v>
      </c>
      <c r="J113" s="71" t="s">
        <v>24</v>
      </c>
      <c r="K113" s="71" t="s">
        <v>23</v>
      </c>
      <c r="L113" s="71" t="s">
        <v>25</v>
      </c>
      <c r="M113" s="71" t="s">
        <v>23</v>
      </c>
      <c r="N113" s="71" t="s">
        <v>23</v>
      </c>
      <c r="O113" s="71" t="s">
        <v>23</v>
      </c>
      <c r="P113" s="71" t="s">
        <v>23</v>
      </c>
      <c r="Q113" s="71" t="s">
        <v>23</v>
      </c>
      <c r="R113" s="72" t="s">
        <v>106</v>
      </c>
      <c r="S113" s="73" t="s">
        <v>59</v>
      </c>
      <c r="T113" s="75">
        <f>T114+T115</f>
        <v>237372.9</v>
      </c>
      <c r="U113" s="75">
        <f>U114+U115+U116</f>
        <v>227864.3</v>
      </c>
      <c r="V113" s="75">
        <f>V114+V115+V116+V117+V118+V119+V120+V121</f>
        <v>812524.39999999991</v>
      </c>
      <c r="W113" s="75">
        <f t="shared" ref="W113:Y113" si="24">W114+W115</f>
        <v>19422.099999999999</v>
      </c>
      <c r="X113" s="75">
        <f t="shared" si="24"/>
        <v>21348</v>
      </c>
      <c r="Y113" s="75">
        <f t="shared" si="24"/>
        <v>16712.900000000001</v>
      </c>
      <c r="Z113" s="75">
        <f>T113+U113+V113+W113+X113+Y113</f>
        <v>1335244.5999999999</v>
      </c>
      <c r="AA113" s="73">
        <v>2020</v>
      </c>
    </row>
    <row r="114" spans="1:32" ht="27.6" customHeight="1" x14ac:dyDescent="0.25">
      <c r="A114" s="71" t="s">
        <v>23</v>
      </c>
      <c r="B114" s="71" t="s">
        <v>24</v>
      </c>
      <c r="C114" s="71" t="s">
        <v>25</v>
      </c>
      <c r="D114" s="71" t="s">
        <v>23</v>
      </c>
      <c r="E114" s="71" t="s">
        <v>33</v>
      </c>
      <c r="F114" s="71" t="s">
        <v>23</v>
      </c>
      <c r="G114" s="71" t="s">
        <v>32</v>
      </c>
      <c r="H114" s="71" t="s">
        <v>23</v>
      </c>
      <c r="I114" s="71" t="s">
        <v>31</v>
      </c>
      <c r="J114" s="71" t="s">
        <v>24</v>
      </c>
      <c r="K114" s="71" t="s">
        <v>23</v>
      </c>
      <c r="L114" s="71" t="s">
        <v>25</v>
      </c>
      <c r="M114" s="71" t="s">
        <v>23</v>
      </c>
      <c r="N114" s="71" t="s">
        <v>23</v>
      </c>
      <c r="O114" s="71" t="s">
        <v>23</v>
      </c>
      <c r="P114" s="71" t="s">
        <v>23</v>
      </c>
      <c r="Q114" s="71" t="s">
        <v>23</v>
      </c>
      <c r="R114" s="72" t="s">
        <v>106</v>
      </c>
      <c r="S114" s="73" t="s">
        <v>59</v>
      </c>
      <c r="T114" s="74">
        <f>208466.4-2928.6-2000-355.5</f>
        <v>203182.3</v>
      </c>
      <c r="U114" s="74">
        <f>50000-2950-2047.3-4865+1039.8-1654.9-5800-5858.3</f>
        <v>27864.3</v>
      </c>
      <c r="V114" s="74">
        <f>16437.3-5309.4-8274.5+600+2425+1944+1650.4-1944-1538.8</f>
        <v>5989.9999999999991</v>
      </c>
      <c r="W114" s="74">
        <v>19422.099999999999</v>
      </c>
      <c r="X114" s="74">
        <v>21348</v>
      </c>
      <c r="Y114" s="74">
        <v>16712.900000000001</v>
      </c>
      <c r="Z114" s="75">
        <f>T114+U114+V114+W114+X114+Y114</f>
        <v>294519.59999999998</v>
      </c>
      <c r="AA114" s="73">
        <v>2020</v>
      </c>
      <c r="AB114" s="109"/>
      <c r="AC114" s="47"/>
    </row>
    <row r="115" spans="1:32" s="78" customFormat="1" ht="30" x14ac:dyDescent="0.25">
      <c r="A115" s="71" t="s">
        <v>23</v>
      </c>
      <c r="B115" s="71" t="s">
        <v>24</v>
      </c>
      <c r="C115" s="71" t="s">
        <v>25</v>
      </c>
      <c r="D115" s="71" t="s">
        <v>23</v>
      </c>
      <c r="E115" s="71" t="s">
        <v>33</v>
      </c>
      <c r="F115" s="71" t="s">
        <v>23</v>
      </c>
      <c r="G115" s="71" t="s">
        <v>32</v>
      </c>
      <c r="H115" s="71" t="s">
        <v>23</v>
      </c>
      <c r="I115" s="71" t="s">
        <v>31</v>
      </c>
      <c r="J115" s="71" t="s">
        <v>24</v>
      </c>
      <c r="K115" s="71" t="s">
        <v>35</v>
      </c>
      <c r="L115" s="71" t="s">
        <v>33</v>
      </c>
      <c r="M115" s="71" t="s">
        <v>23</v>
      </c>
      <c r="N115" s="71" t="s">
        <v>25</v>
      </c>
      <c r="O115" s="71"/>
      <c r="P115" s="71"/>
      <c r="Q115" s="71"/>
      <c r="R115" s="72" t="s">
        <v>106</v>
      </c>
      <c r="S115" s="73" t="s">
        <v>59</v>
      </c>
      <c r="T115" s="74">
        <f>34550.9-360.3</f>
        <v>34190.6</v>
      </c>
      <c r="U115" s="74"/>
      <c r="V115" s="74"/>
      <c r="W115" s="74"/>
      <c r="X115" s="74"/>
      <c r="Y115" s="74"/>
      <c r="Z115" s="75">
        <f>T115+U115+V115+W115+X115+Y115</f>
        <v>34190.6</v>
      </c>
      <c r="AA115" s="73">
        <v>2015</v>
      </c>
      <c r="AB115" s="48"/>
      <c r="AC115" s="48"/>
      <c r="AD115" s="94"/>
      <c r="AE115" s="95"/>
      <c r="AF115" s="95"/>
    </row>
    <row r="116" spans="1:32" s="78" customFormat="1" ht="30" x14ac:dyDescent="0.25">
      <c r="A116" s="71" t="s">
        <v>23</v>
      </c>
      <c r="B116" s="71" t="s">
        <v>24</v>
      </c>
      <c r="C116" s="71" t="s">
        <v>25</v>
      </c>
      <c r="D116" s="71" t="s">
        <v>23</v>
      </c>
      <c r="E116" s="71" t="s">
        <v>33</v>
      </c>
      <c r="F116" s="71" t="s">
        <v>23</v>
      </c>
      <c r="G116" s="71" t="s">
        <v>32</v>
      </c>
      <c r="H116" s="71" t="s">
        <v>23</v>
      </c>
      <c r="I116" s="71" t="s">
        <v>31</v>
      </c>
      <c r="J116" s="71" t="s">
        <v>24</v>
      </c>
      <c r="K116" s="71" t="s">
        <v>23</v>
      </c>
      <c r="L116" s="71" t="s">
        <v>25</v>
      </c>
      <c r="M116" s="71" t="s">
        <v>30</v>
      </c>
      <c r="N116" s="71" t="s">
        <v>33</v>
      </c>
      <c r="O116" s="71" t="s">
        <v>25</v>
      </c>
      <c r="P116" s="71" t="s">
        <v>23</v>
      </c>
      <c r="Q116" s="71" t="s">
        <v>178</v>
      </c>
      <c r="R116" s="72" t="s">
        <v>106</v>
      </c>
      <c r="S116" s="73" t="s">
        <v>59</v>
      </c>
      <c r="T116" s="74"/>
      <c r="U116" s="74">
        <v>200000</v>
      </c>
      <c r="V116" s="74"/>
      <c r="W116" s="74"/>
      <c r="X116" s="74"/>
      <c r="Y116" s="74"/>
      <c r="Z116" s="75">
        <f>T116+U116+V116+W116+X116+Y116</f>
        <v>200000</v>
      </c>
      <c r="AA116" s="73">
        <v>2016</v>
      </c>
      <c r="AB116" s="48"/>
      <c r="AC116" s="48"/>
      <c r="AD116" s="94"/>
      <c r="AE116" s="95"/>
      <c r="AF116" s="95"/>
    </row>
    <row r="117" spans="1:32" s="78" customFormat="1" ht="30" x14ac:dyDescent="0.25">
      <c r="A117" s="71" t="s">
        <v>23</v>
      </c>
      <c r="B117" s="71" t="s">
        <v>24</v>
      </c>
      <c r="C117" s="71" t="s">
        <v>25</v>
      </c>
      <c r="D117" s="71" t="s">
        <v>23</v>
      </c>
      <c r="E117" s="71" t="s">
        <v>33</v>
      </c>
      <c r="F117" s="71" t="s">
        <v>23</v>
      </c>
      <c r="G117" s="71" t="s">
        <v>32</v>
      </c>
      <c r="H117" s="71" t="s">
        <v>23</v>
      </c>
      <c r="I117" s="71" t="s">
        <v>31</v>
      </c>
      <c r="J117" s="71" t="s">
        <v>24</v>
      </c>
      <c r="K117" s="71" t="s">
        <v>23</v>
      </c>
      <c r="L117" s="71" t="s">
        <v>25</v>
      </c>
      <c r="M117" s="71" t="s">
        <v>180</v>
      </c>
      <c r="N117" s="71" t="s">
        <v>23</v>
      </c>
      <c r="O117" s="71" t="s">
        <v>25</v>
      </c>
      <c r="P117" s="71" t="s">
        <v>23</v>
      </c>
      <c r="Q117" s="71" t="s">
        <v>208</v>
      </c>
      <c r="R117" s="72" t="s">
        <v>106</v>
      </c>
      <c r="S117" s="73" t="s">
        <v>59</v>
      </c>
      <c r="T117" s="74"/>
      <c r="U117" s="74"/>
      <c r="V117" s="74">
        <f>29787+212.7</f>
        <v>29999.7</v>
      </c>
      <c r="W117" s="74"/>
      <c r="X117" s="74"/>
      <c r="Y117" s="74"/>
      <c r="Z117" s="75">
        <f>V117</f>
        <v>29999.7</v>
      </c>
      <c r="AA117" s="73">
        <v>2017</v>
      </c>
      <c r="AB117" s="48"/>
      <c r="AC117" s="48"/>
      <c r="AD117" s="94"/>
      <c r="AE117" s="95"/>
      <c r="AF117" s="95"/>
    </row>
    <row r="118" spans="1:32" s="78" customFormat="1" ht="30" x14ac:dyDescent="0.25">
      <c r="A118" s="71" t="s">
        <v>23</v>
      </c>
      <c r="B118" s="71" t="s">
        <v>24</v>
      </c>
      <c r="C118" s="71" t="s">
        <v>25</v>
      </c>
      <c r="D118" s="71" t="s">
        <v>23</v>
      </c>
      <c r="E118" s="71" t="s">
        <v>33</v>
      </c>
      <c r="F118" s="71" t="s">
        <v>23</v>
      </c>
      <c r="G118" s="71" t="s">
        <v>32</v>
      </c>
      <c r="H118" s="71" t="s">
        <v>23</v>
      </c>
      <c r="I118" s="71" t="s">
        <v>31</v>
      </c>
      <c r="J118" s="71" t="s">
        <v>24</v>
      </c>
      <c r="K118" s="71" t="s">
        <v>23</v>
      </c>
      <c r="L118" s="71" t="s">
        <v>25</v>
      </c>
      <c r="M118" s="71" t="s">
        <v>24</v>
      </c>
      <c r="N118" s="71" t="s">
        <v>23</v>
      </c>
      <c r="O118" s="71" t="s">
        <v>25</v>
      </c>
      <c r="P118" s="71" t="s">
        <v>23</v>
      </c>
      <c r="Q118" s="71" t="s">
        <v>211</v>
      </c>
      <c r="R118" s="72" t="s">
        <v>106</v>
      </c>
      <c r="S118" s="73" t="s">
        <v>59</v>
      </c>
      <c r="T118" s="74"/>
      <c r="U118" s="74"/>
      <c r="V118" s="74">
        <f>74792.7+105145.2</f>
        <v>179937.9</v>
      </c>
      <c r="W118" s="74"/>
      <c r="X118" s="74"/>
      <c r="Y118" s="74"/>
      <c r="Z118" s="75">
        <f>V118</f>
        <v>179937.9</v>
      </c>
      <c r="AA118" s="73">
        <v>2017</v>
      </c>
      <c r="AB118" s="48"/>
      <c r="AC118" s="48"/>
      <c r="AD118" s="94"/>
      <c r="AE118" s="95"/>
      <c r="AF118" s="95"/>
    </row>
    <row r="119" spans="1:32" s="78" customFormat="1" ht="30" x14ac:dyDescent="0.25">
      <c r="A119" s="71" t="s">
        <v>23</v>
      </c>
      <c r="B119" s="71" t="s">
        <v>24</v>
      </c>
      <c r="C119" s="71" t="s">
        <v>25</v>
      </c>
      <c r="D119" s="71" t="s">
        <v>23</v>
      </c>
      <c r="E119" s="71" t="s">
        <v>33</v>
      </c>
      <c r="F119" s="71" t="s">
        <v>23</v>
      </c>
      <c r="G119" s="71" t="s">
        <v>32</v>
      </c>
      <c r="H119" s="71" t="s">
        <v>23</v>
      </c>
      <c r="I119" s="71" t="s">
        <v>31</v>
      </c>
      <c r="J119" s="71" t="s">
        <v>24</v>
      </c>
      <c r="K119" s="71" t="s">
        <v>23</v>
      </c>
      <c r="L119" s="71" t="s">
        <v>25</v>
      </c>
      <c r="M119" s="71" t="s">
        <v>24</v>
      </c>
      <c r="N119" s="71" t="s">
        <v>23</v>
      </c>
      <c r="O119" s="71" t="s">
        <v>39</v>
      </c>
      <c r="P119" s="71" t="s">
        <v>24</v>
      </c>
      <c r="Q119" s="71" t="s">
        <v>211</v>
      </c>
      <c r="R119" s="72" t="s">
        <v>106</v>
      </c>
      <c r="S119" s="73" t="s">
        <v>59</v>
      </c>
      <c r="T119" s="74"/>
      <c r="U119" s="74"/>
      <c r="V119" s="74">
        <v>75420</v>
      </c>
      <c r="W119" s="74"/>
      <c r="X119" s="74"/>
      <c r="Y119" s="74"/>
      <c r="Z119" s="75">
        <f>V119</f>
        <v>75420</v>
      </c>
      <c r="AA119" s="73">
        <v>2017</v>
      </c>
      <c r="AB119" s="69"/>
      <c r="AC119" s="48"/>
      <c r="AD119" s="94"/>
      <c r="AE119" s="95"/>
      <c r="AF119" s="95"/>
    </row>
    <row r="120" spans="1:32" ht="30" x14ac:dyDescent="0.25">
      <c r="A120" s="71" t="s">
        <v>23</v>
      </c>
      <c r="B120" s="71" t="s">
        <v>24</v>
      </c>
      <c r="C120" s="71" t="s">
        <v>25</v>
      </c>
      <c r="D120" s="71" t="s">
        <v>23</v>
      </c>
      <c r="E120" s="71" t="s">
        <v>33</v>
      </c>
      <c r="F120" s="71" t="s">
        <v>23</v>
      </c>
      <c r="G120" s="71" t="s">
        <v>32</v>
      </c>
      <c r="H120" s="71" t="s">
        <v>23</v>
      </c>
      <c r="I120" s="71" t="s">
        <v>31</v>
      </c>
      <c r="J120" s="71" t="s">
        <v>24</v>
      </c>
      <c r="K120" s="71" t="s">
        <v>23</v>
      </c>
      <c r="L120" s="71" t="s">
        <v>25</v>
      </c>
      <c r="M120" s="71" t="s">
        <v>30</v>
      </c>
      <c r="N120" s="71" t="s">
        <v>34</v>
      </c>
      <c r="O120" s="71" t="s">
        <v>32</v>
      </c>
      <c r="P120" s="71" t="s">
        <v>23</v>
      </c>
      <c r="Q120" s="71" t="s">
        <v>211</v>
      </c>
      <c r="R120" s="72" t="s">
        <v>106</v>
      </c>
      <c r="S120" s="73" t="s">
        <v>59</v>
      </c>
      <c r="T120" s="74"/>
      <c r="U120" s="74"/>
      <c r="V120" s="74">
        <v>6976.8</v>
      </c>
      <c r="W120" s="74"/>
      <c r="X120" s="74"/>
      <c r="Y120" s="74"/>
      <c r="Z120" s="75">
        <f>V120</f>
        <v>6976.8</v>
      </c>
      <c r="AA120" s="73">
        <v>2017</v>
      </c>
    </row>
    <row r="121" spans="1:32" s="78" customFormat="1" ht="30" x14ac:dyDescent="0.25">
      <c r="A121" s="71" t="s">
        <v>23</v>
      </c>
      <c r="B121" s="71" t="s">
        <v>24</v>
      </c>
      <c r="C121" s="71" t="s">
        <v>25</v>
      </c>
      <c r="D121" s="71" t="s">
        <v>23</v>
      </c>
      <c r="E121" s="71" t="s">
        <v>33</v>
      </c>
      <c r="F121" s="71" t="s">
        <v>23</v>
      </c>
      <c r="G121" s="71" t="s">
        <v>32</v>
      </c>
      <c r="H121" s="71" t="s">
        <v>23</v>
      </c>
      <c r="I121" s="71" t="s">
        <v>31</v>
      </c>
      <c r="J121" s="71" t="s">
        <v>24</v>
      </c>
      <c r="K121" s="71" t="s">
        <v>23</v>
      </c>
      <c r="L121" s="71" t="s">
        <v>25</v>
      </c>
      <c r="M121" s="71" t="s">
        <v>39</v>
      </c>
      <c r="N121" s="71" t="s">
        <v>39</v>
      </c>
      <c r="O121" s="71" t="s">
        <v>23</v>
      </c>
      <c r="P121" s="71" t="s">
        <v>23</v>
      </c>
      <c r="Q121" s="71" t="s">
        <v>23</v>
      </c>
      <c r="R121" s="72" t="s">
        <v>106</v>
      </c>
      <c r="S121" s="73" t="s">
        <v>59</v>
      </c>
      <c r="T121" s="74"/>
      <c r="U121" s="74"/>
      <c r="V121" s="74">
        <f>300000+214200</f>
        <v>514200</v>
      </c>
      <c r="W121" s="74"/>
      <c r="X121" s="74"/>
      <c r="Y121" s="74"/>
      <c r="Z121" s="75">
        <f>V121</f>
        <v>514200</v>
      </c>
      <c r="AA121" s="73">
        <v>2017</v>
      </c>
      <c r="AB121" s="48"/>
      <c r="AC121" s="48"/>
      <c r="AD121" s="94"/>
      <c r="AE121" s="95"/>
      <c r="AF121" s="95"/>
    </row>
    <row r="122" spans="1:32" s="1" customFormat="1" ht="45" x14ac:dyDescent="0.25">
      <c r="A122" s="41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17" t="s">
        <v>110</v>
      </c>
      <c r="S122" s="15" t="s">
        <v>60</v>
      </c>
      <c r="T122" s="8">
        <v>213.5</v>
      </c>
      <c r="U122" s="8">
        <f>25.9+283</f>
        <v>308.89999999999998</v>
      </c>
      <c r="V122" s="8">
        <v>96.9</v>
      </c>
      <c r="W122" s="8">
        <v>19</v>
      </c>
      <c r="X122" s="8">
        <v>18</v>
      </c>
      <c r="Y122" s="8">
        <v>18</v>
      </c>
      <c r="Z122" s="5">
        <f t="shared" si="4"/>
        <v>674.3</v>
      </c>
      <c r="AA122" s="15">
        <v>2020</v>
      </c>
      <c r="AB122" s="48"/>
      <c r="AC122" s="48"/>
      <c r="AD122" s="48"/>
    </row>
    <row r="123" spans="1:32" s="65" customFormat="1" ht="30" x14ac:dyDescent="0.25">
      <c r="A123" s="41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17" t="s">
        <v>111</v>
      </c>
      <c r="S123" s="15" t="s">
        <v>55</v>
      </c>
      <c r="T123" s="21">
        <v>3</v>
      </c>
      <c r="U123" s="21"/>
      <c r="V123" s="21">
        <v>1</v>
      </c>
      <c r="W123" s="21">
        <v>2</v>
      </c>
      <c r="X123" s="21">
        <v>2</v>
      </c>
      <c r="Y123" s="21">
        <v>2</v>
      </c>
      <c r="Z123" s="6">
        <f t="shared" si="4"/>
        <v>10</v>
      </c>
      <c r="AA123" s="15">
        <v>2020</v>
      </c>
      <c r="AB123" s="48"/>
      <c r="AC123" s="42"/>
      <c r="AD123" s="42"/>
      <c r="AE123" s="43"/>
      <c r="AF123" s="43"/>
    </row>
    <row r="124" spans="1:32" s="80" customFormat="1" ht="30" x14ac:dyDescent="0.25">
      <c r="A124" s="79"/>
      <c r="B124" s="79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17" t="s">
        <v>214</v>
      </c>
      <c r="S124" s="15" t="s">
        <v>12</v>
      </c>
      <c r="T124" s="8">
        <f>160+0.1</f>
        <v>160.1</v>
      </c>
      <c r="U124" s="8"/>
      <c r="V124" s="8">
        <v>51</v>
      </c>
      <c r="W124" s="8">
        <v>25</v>
      </c>
      <c r="X124" s="8">
        <v>97</v>
      </c>
      <c r="Y124" s="8">
        <v>97</v>
      </c>
      <c r="Z124" s="5">
        <f t="shared" si="4"/>
        <v>430.1</v>
      </c>
      <c r="AA124" s="15">
        <v>2020</v>
      </c>
      <c r="AB124" s="96"/>
      <c r="AC124" s="96"/>
      <c r="AD124" s="96"/>
      <c r="AE124" s="97"/>
      <c r="AF124" s="97"/>
    </row>
    <row r="125" spans="1:32" ht="42.75" x14ac:dyDescent="0.25">
      <c r="A125" s="63" t="s">
        <v>23</v>
      </c>
      <c r="B125" s="63" t="s">
        <v>23</v>
      </c>
      <c r="C125" s="63" t="s">
        <v>23</v>
      </c>
      <c r="D125" s="63" t="s">
        <v>23</v>
      </c>
      <c r="E125" s="63" t="s">
        <v>33</v>
      </c>
      <c r="F125" s="63" t="s">
        <v>23</v>
      </c>
      <c r="G125" s="63" t="s">
        <v>32</v>
      </c>
      <c r="H125" s="63" t="s">
        <v>23</v>
      </c>
      <c r="I125" s="63" t="s">
        <v>31</v>
      </c>
      <c r="J125" s="63" t="s">
        <v>24</v>
      </c>
      <c r="K125" s="63" t="s">
        <v>23</v>
      </c>
      <c r="L125" s="63" t="s">
        <v>34</v>
      </c>
      <c r="M125" s="63" t="s">
        <v>23</v>
      </c>
      <c r="N125" s="63" t="s">
        <v>23</v>
      </c>
      <c r="O125" s="63" t="s">
        <v>23</v>
      </c>
      <c r="P125" s="63" t="s">
        <v>23</v>
      </c>
      <c r="Q125" s="63" t="s">
        <v>23</v>
      </c>
      <c r="R125" s="64" t="s">
        <v>36</v>
      </c>
      <c r="S125" s="28" t="s">
        <v>59</v>
      </c>
      <c r="T125" s="16">
        <f t="shared" ref="T125:Y125" si="25">T127+T134+T139+T152+T154+T162</f>
        <v>555707.99999999988</v>
      </c>
      <c r="U125" s="16">
        <f t="shared" si="25"/>
        <v>602437.20000000007</v>
      </c>
      <c r="V125" s="16">
        <f t="shared" si="25"/>
        <v>506111.3</v>
      </c>
      <c r="W125" s="16">
        <f t="shared" si="25"/>
        <v>397613.89999999997</v>
      </c>
      <c r="X125" s="16">
        <f t="shared" si="25"/>
        <v>361494.99999999994</v>
      </c>
      <c r="Y125" s="16">
        <f t="shared" si="25"/>
        <v>354711.8</v>
      </c>
      <c r="Z125" s="16">
        <f>T125+U125+V125+W125+X125+Y125</f>
        <v>2778077.1999999997</v>
      </c>
      <c r="AA125" s="28">
        <v>2020</v>
      </c>
    </row>
    <row r="126" spans="1:32" ht="44.25" x14ac:dyDescent="0.25">
      <c r="A126" s="40"/>
      <c r="B126" s="40"/>
      <c r="C126" s="40"/>
      <c r="D126" s="40"/>
      <c r="E126" s="40"/>
      <c r="F126" s="40"/>
      <c r="G126" s="40"/>
      <c r="H126" s="40"/>
      <c r="I126" s="41"/>
      <c r="J126" s="40"/>
      <c r="K126" s="40"/>
      <c r="L126" s="40"/>
      <c r="M126" s="40"/>
      <c r="N126" s="40"/>
      <c r="O126" s="40"/>
      <c r="P126" s="40"/>
      <c r="Q126" s="40"/>
      <c r="R126" s="39" t="s">
        <v>112</v>
      </c>
      <c r="S126" s="15" t="s">
        <v>60</v>
      </c>
      <c r="T126" s="8">
        <f>T130</f>
        <v>6722.4</v>
      </c>
      <c r="U126" s="8">
        <f t="shared" ref="U126:Z126" si="26">U130</f>
        <v>5804.6</v>
      </c>
      <c r="V126" s="8">
        <f t="shared" si="26"/>
        <v>5804.6</v>
      </c>
      <c r="W126" s="8">
        <f t="shared" si="26"/>
        <v>5804.6</v>
      </c>
      <c r="X126" s="8">
        <f t="shared" si="26"/>
        <v>5804.6</v>
      </c>
      <c r="Y126" s="8">
        <f t="shared" si="26"/>
        <v>5804.6</v>
      </c>
      <c r="Z126" s="5">
        <f t="shared" si="26"/>
        <v>5804.6</v>
      </c>
      <c r="AA126" s="15">
        <v>2020</v>
      </c>
    </row>
    <row r="127" spans="1:32" ht="46.15" customHeight="1" x14ac:dyDescent="0.25">
      <c r="A127" s="71" t="s">
        <v>23</v>
      </c>
      <c r="B127" s="71" t="s">
        <v>24</v>
      </c>
      <c r="C127" s="71" t="s">
        <v>25</v>
      </c>
      <c r="D127" s="71" t="s">
        <v>23</v>
      </c>
      <c r="E127" s="71" t="s">
        <v>33</v>
      </c>
      <c r="F127" s="71" t="s">
        <v>23</v>
      </c>
      <c r="G127" s="71" t="s">
        <v>32</v>
      </c>
      <c r="H127" s="71" t="s">
        <v>23</v>
      </c>
      <c r="I127" s="71" t="s">
        <v>31</v>
      </c>
      <c r="J127" s="71" t="s">
        <v>24</v>
      </c>
      <c r="K127" s="71" t="s">
        <v>23</v>
      </c>
      <c r="L127" s="71" t="s">
        <v>34</v>
      </c>
      <c r="M127" s="71" t="s">
        <v>23</v>
      </c>
      <c r="N127" s="71" t="s">
        <v>23</v>
      </c>
      <c r="O127" s="71" t="s">
        <v>23</v>
      </c>
      <c r="P127" s="71" t="s">
        <v>23</v>
      </c>
      <c r="Q127" s="71" t="s">
        <v>23</v>
      </c>
      <c r="R127" s="72" t="s">
        <v>113</v>
      </c>
      <c r="S127" s="73" t="s">
        <v>59</v>
      </c>
      <c r="T127" s="75">
        <f>524597.1+9797.5</f>
        <v>534394.6</v>
      </c>
      <c r="U127" s="75">
        <f>560000-700-185-145.1-1284.7-993.1-56017.3</f>
        <v>500674.8000000001</v>
      </c>
      <c r="V127" s="75">
        <f>V128+V129</f>
        <v>473416.7</v>
      </c>
      <c r="W127" s="75">
        <f t="shared" ref="W127:Z127" si="27">W128+W129</f>
        <v>374053.6</v>
      </c>
      <c r="X127" s="75">
        <f t="shared" si="27"/>
        <v>337260.1</v>
      </c>
      <c r="Y127" s="75">
        <f t="shared" si="27"/>
        <v>330676.90000000002</v>
      </c>
      <c r="Z127" s="75">
        <f t="shared" si="27"/>
        <v>2550476.7000000002</v>
      </c>
      <c r="AA127" s="73">
        <v>2020</v>
      </c>
    </row>
    <row r="128" spans="1:32" ht="46.15" customHeight="1" x14ac:dyDescent="0.25">
      <c r="A128" s="71" t="s">
        <v>23</v>
      </c>
      <c r="B128" s="71" t="s">
        <v>24</v>
      </c>
      <c r="C128" s="71" t="s">
        <v>25</v>
      </c>
      <c r="D128" s="71" t="s">
        <v>23</v>
      </c>
      <c r="E128" s="71" t="s">
        <v>33</v>
      </c>
      <c r="F128" s="71" t="s">
        <v>23</v>
      </c>
      <c r="G128" s="71" t="s">
        <v>32</v>
      </c>
      <c r="H128" s="71" t="s">
        <v>23</v>
      </c>
      <c r="I128" s="71" t="s">
        <v>31</v>
      </c>
      <c r="J128" s="71" t="s">
        <v>24</v>
      </c>
      <c r="K128" s="71" t="s">
        <v>23</v>
      </c>
      <c r="L128" s="71" t="s">
        <v>34</v>
      </c>
      <c r="M128" s="71" t="s">
        <v>23</v>
      </c>
      <c r="N128" s="71" t="s">
        <v>23</v>
      </c>
      <c r="O128" s="71" t="s">
        <v>23</v>
      </c>
      <c r="P128" s="71" t="s">
        <v>23</v>
      </c>
      <c r="Q128" s="71" t="s">
        <v>23</v>
      </c>
      <c r="R128" s="72" t="s">
        <v>113</v>
      </c>
      <c r="S128" s="73" t="s">
        <v>59</v>
      </c>
      <c r="T128" s="74">
        <f>524597.1+9797.5</f>
        <v>534394.6</v>
      </c>
      <c r="U128" s="74">
        <f>560000-700-185-145.1-1284.7-993.1-56017.3</f>
        <v>500674.8000000001</v>
      </c>
      <c r="V128" s="74">
        <f>510303.9-40000-731.1-35.9-200+1100</f>
        <v>470436.9</v>
      </c>
      <c r="W128" s="74">
        <v>374053.6</v>
      </c>
      <c r="X128" s="74">
        <v>337260.1</v>
      </c>
      <c r="Y128" s="74">
        <v>330676.90000000002</v>
      </c>
      <c r="Z128" s="75">
        <f>T128+U128+V128+W128+X128+Y128</f>
        <v>2547496.9000000004</v>
      </c>
      <c r="AA128" s="73">
        <v>2020</v>
      </c>
    </row>
    <row r="129" spans="1:32" ht="46.15" customHeight="1" x14ac:dyDescent="0.25">
      <c r="A129" s="71" t="s">
        <v>23</v>
      </c>
      <c r="B129" s="71" t="s">
        <v>24</v>
      </c>
      <c r="C129" s="71" t="s">
        <v>25</v>
      </c>
      <c r="D129" s="71" t="s">
        <v>23</v>
      </c>
      <c r="E129" s="71" t="s">
        <v>33</v>
      </c>
      <c r="F129" s="71" t="s">
        <v>23</v>
      </c>
      <c r="G129" s="71" t="s">
        <v>32</v>
      </c>
      <c r="H129" s="71" t="s">
        <v>23</v>
      </c>
      <c r="I129" s="71" t="s">
        <v>31</v>
      </c>
      <c r="J129" s="71" t="s">
        <v>24</v>
      </c>
      <c r="K129" s="71" t="s">
        <v>23</v>
      </c>
      <c r="L129" s="71" t="s">
        <v>34</v>
      </c>
      <c r="M129" s="71" t="s">
        <v>180</v>
      </c>
      <c r="N129" s="71" t="s">
        <v>23</v>
      </c>
      <c r="O129" s="71" t="s">
        <v>39</v>
      </c>
      <c r="P129" s="71" t="s">
        <v>24</v>
      </c>
      <c r="Q129" s="71" t="s">
        <v>208</v>
      </c>
      <c r="R129" s="72" t="s">
        <v>113</v>
      </c>
      <c r="S129" s="73" t="s">
        <v>59</v>
      </c>
      <c r="T129" s="74"/>
      <c r="U129" s="74"/>
      <c r="V129" s="74">
        <v>2979.8</v>
      </c>
      <c r="W129" s="74"/>
      <c r="X129" s="74"/>
      <c r="Y129" s="74"/>
      <c r="Z129" s="75">
        <f>T129+U129+V129+W129+X129+Y129</f>
        <v>2979.8</v>
      </c>
      <c r="AA129" s="73">
        <v>2017</v>
      </c>
    </row>
    <row r="130" spans="1:32" ht="45" x14ac:dyDescent="0.25">
      <c r="A130" s="41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17" t="s">
        <v>114</v>
      </c>
      <c r="S130" s="15" t="s">
        <v>177</v>
      </c>
      <c r="T130" s="8">
        <v>6722.4</v>
      </c>
      <c r="U130" s="8">
        <v>5804.6</v>
      </c>
      <c r="V130" s="8">
        <v>5804.6</v>
      </c>
      <c r="W130" s="8">
        <v>5804.6</v>
      </c>
      <c r="X130" s="8">
        <v>5804.6</v>
      </c>
      <c r="Y130" s="8">
        <v>5804.6</v>
      </c>
      <c r="Z130" s="5">
        <v>5804.6</v>
      </c>
      <c r="AA130" s="15">
        <v>2020</v>
      </c>
    </row>
    <row r="131" spans="1:32" ht="45.6" customHeight="1" x14ac:dyDescent="0.25">
      <c r="A131" s="41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17" t="s">
        <v>115</v>
      </c>
      <c r="S131" s="15" t="s">
        <v>55</v>
      </c>
      <c r="T131" s="21">
        <v>43</v>
      </c>
      <c r="U131" s="21">
        <v>55</v>
      </c>
      <c r="V131" s="21"/>
      <c r="W131" s="21">
        <v>20</v>
      </c>
      <c r="X131" s="21">
        <v>92</v>
      </c>
      <c r="Y131" s="21">
        <v>92</v>
      </c>
      <c r="Z131" s="6">
        <f t="shared" ref="Z131:Z197" si="28">T131+U131+V131+W131+X131+Y131</f>
        <v>302</v>
      </c>
      <c r="AA131" s="15">
        <v>2020</v>
      </c>
    </row>
    <row r="132" spans="1:32" ht="45" x14ac:dyDescent="0.25">
      <c r="A132" s="41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17" t="s">
        <v>116</v>
      </c>
      <c r="S132" s="15" t="s">
        <v>55</v>
      </c>
      <c r="T132" s="21">
        <f>4367-2367</f>
        <v>2000</v>
      </c>
      <c r="U132" s="21">
        <f>2540+172+150</f>
        <v>2862</v>
      </c>
      <c r="V132" s="21">
        <v>2500</v>
      </c>
      <c r="W132" s="21">
        <v>2500</v>
      </c>
      <c r="X132" s="21">
        <v>2300</v>
      </c>
      <c r="Y132" s="21">
        <v>2300</v>
      </c>
      <c r="Z132" s="6">
        <f t="shared" si="28"/>
        <v>14462</v>
      </c>
      <c r="AA132" s="15">
        <v>2020</v>
      </c>
    </row>
    <row r="133" spans="1:32" ht="30.75" customHeight="1" x14ac:dyDescent="0.25">
      <c r="A133" s="41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17" t="s">
        <v>117</v>
      </c>
      <c r="S133" s="15" t="s">
        <v>21</v>
      </c>
      <c r="T133" s="8">
        <v>78529</v>
      </c>
      <c r="U133" s="8">
        <v>64700</v>
      </c>
      <c r="V133" s="8">
        <v>68000</v>
      </c>
      <c r="W133" s="8">
        <v>60000</v>
      </c>
      <c r="X133" s="8">
        <v>55000</v>
      </c>
      <c r="Y133" s="8">
        <v>55000</v>
      </c>
      <c r="Z133" s="5">
        <f t="shared" si="28"/>
        <v>381229</v>
      </c>
      <c r="AA133" s="15">
        <v>2020</v>
      </c>
    </row>
    <row r="134" spans="1:32" s="78" customFormat="1" ht="33" customHeight="1" x14ac:dyDescent="0.25">
      <c r="A134" s="71" t="s">
        <v>23</v>
      </c>
      <c r="B134" s="71" t="s">
        <v>24</v>
      </c>
      <c r="C134" s="71" t="s">
        <v>25</v>
      </c>
      <c r="D134" s="71" t="s">
        <v>23</v>
      </c>
      <c r="E134" s="71" t="s">
        <v>33</v>
      </c>
      <c r="F134" s="71" t="s">
        <v>23</v>
      </c>
      <c r="G134" s="71" t="s">
        <v>32</v>
      </c>
      <c r="H134" s="71" t="s">
        <v>23</v>
      </c>
      <c r="I134" s="71" t="s">
        <v>31</v>
      </c>
      <c r="J134" s="71" t="s">
        <v>24</v>
      </c>
      <c r="K134" s="71" t="s">
        <v>23</v>
      </c>
      <c r="L134" s="71" t="s">
        <v>34</v>
      </c>
      <c r="M134" s="71" t="s">
        <v>23</v>
      </c>
      <c r="N134" s="71" t="s">
        <v>23</v>
      </c>
      <c r="O134" s="71" t="s">
        <v>23</v>
      </c>
      <c r="P134" s="71" t="s">
        <v>23</v>
      </c>
      <c r="Q134" s="71" t="s">
        <v>23</v>
      </c>
      <c r="R134" s="72" t="s">
        <v>174</v>
      </c>
      <c r="S134" s="73" t="s">
        <v>59</v>
      </c>
      <c r="T134" s="75">
        <f>8750.1-1323.9</f>
        <v>7426.2000000000007</v>
      </c>
      <c r="U134" s="75">
        <f>4000-420.3-400</f>
        <v>3179.7</v>
      </c>
      <c r="V134" s="75">
        <f>V135+V136</f>
        <v>2902.1</v>
      </c>
      <c r="W134" s="75">
        <v>2500</v>
      </c>
      <c r="X134" s="75">
        <v>3174.6</v>
      </c>
      <c r="Y134" s="75">
        <v>3174.6</v>
      </c>
      <c r="Z134" s="75">
        <f t="shared" si="28"/>
        <v>22357.200000000001</v>
      </c>
      <c r="AA134" s="73">
        <v>2020</v>
      </c>
      <c r="AB134" s="48"/>
      <c r="AC134" s="94"/>
      <c r="AD134" s="94"/>
      <c r="AE134" s="95"/>
      <c r="AF134" s="95"/>
    </row>
    <row r="135" spans="1:32" s="78" customFormat="1" ht="33" customHeight="1" x14ac:dyDescent="0.25">
      <c r="A135" s="71" t="s">
        <v>23</v>
      </c>
      <c r="B135" s="71" t="s">
        <v>24</v>
      </c>
      <c r="C135" s="71" t="s">
        <v>25</v>
      </c>
      <c r="D135" s="71" t="s">
        <v>23</v>
      </c>
      <c r="E135" s="71" t="s">
        <v>33</v>
      </c>
      <c r="F135" s="71" t="s">
        <v>23</v>
      </c>
      <c r="G135" s="71" t="s">
        <v>32</v>
      </c>
      <c r="H135" s="71" t="s">
        <v>23</v>
      </c>
      <c r="I135" s="71" t="s">
        <v>31</v>
      </c>
      <c r="J135" s="71" t="s">
        <v>24</v>
      </c>
      <c r="K135" s="71" t="s">
        <v>23</v>
      </c>
      <c r="L135" s="71" t="s">
        <v>34</v>
      </c>
      <c r="M135" s="71" t="s">
        <v>23</v>
      </c>
      <c r="N135" s="71" t="s">
        <v>23</v>
      </c>
      <c r="O135" s="71" t="s">
        <v>23</v>
      </c>
      <c r="P135" s="71" t="s">
        <v>23</v>
      </c>
      <c r="Q135" s="71" t="s">
        <v>23</v>
      </c>
      <c r="R135" s="72" t="s">
        <v>174</v>
      </c>
      <c r="S135" s="73" t="s">
        <v>59</v>
      </c>
      <c r="T135" s="74">
        <f>8750.1-1323.9</f>
        <v>7426.2000000000007</v>
      </c>
      <c r="U135" s="74">
        <f>4000-420.3-400</f>
        <v>3179.7</v>
      </c>
      <c r="V135" s="74">
        <f>2633-20-1100</f>
        <v>1513</v>
      </c>
      <c r="W135" s="74">
        <v>2500</v>
      </c>
      <c r="X135" s="74">
        <v>3174.6</v>
      </c>
      <c r="Y135" s="74">
        <v>3174.6</v>
      </c>
      <c r="Z135" s="75">
        <f t="shared" ref="Z135:Z136" si="29">T135+U135+V135+W135+X135+Y135</f>
        <v>20968.099999999999</v>
      </c>
      <c r="AA135" s="73">
        <v>2020</v>
      </c>
      <c r="AB135" s="48"/>
      <c r="AC135" s="94"/>
      <c r="AD135" s="94"/>
      <c r="AE135" s="95"/>
      <c r="AF135" s="95"/>
    </row>
    <row r="136" spans="1:32" s="78" customFormat="1" ht="33" customHeight="1" x14ac:dyDescent="0.25">
      <c r="A136" s="71" t="s">
        <v>23</v>
      </c>
      <c r="B136" s="71" t="s">
        <v>24</v>
      </c>
      <c r="C136" s="71" t="s">
        <v>25</v>
      </c>
      <c r="D136" s="71" t="s">
        <v>23</v>
      </c>
      <c r="E136" s="71" t="s">
        <v>33</v>
      </c>
      <c r="F136" s="71" t="s">
        <v>23</v>
      </c>
      <c r="G136" s="71" t="s">
        <v>32</v>
      </c>
      <c r="H136" s="71" t="s">
        <v>23</v>
      </c>
      <c r="I136" s="71" t="s">
        <v>31</v>
      </c>
      <c r="J136" s="71" t="s">
        <v>24</v>
      </c>
      <c r="K136" s="71" t="s">
        <v>23</v>
      </c>
      <c r="L136" s="71" t="s">
        <v>34</v>
      </c>
      <c r="M136" s="71" t="s">
        <v>180</v>
      </c>
      <c r="N136" s="71" t="s">
        <v>23</v>
      </c>
      <c r="O136" s="71" t="s">
        <v>39</v>
      </c>
      <c r="P136" s="71" t="s">
        <v>24</v>
      </c>
      <c r="Q136" s="71" t="s">
        <v>208</v>
      </c>
      <c r="R136" s="72" t="s">
        <v>174</v>
      </c>
      <c r="S136" s="73" t="s">
        <v>59</v>
      </c>
      <c r="T136" s="74"/>
      <c r="U136" s="74"/>
      <c r="V136" s="74">
        <v>1389.1</v>
      </c>
      <c r="W136" s="74"/>
      <c r="X136" s="74"/>
      <c r="Y136" s="74"/>
      <c r="Z136" s="75">
        <f t="shared" si="29"/>
        <v>1389.1</v>
      </c>
      <c r="AA136" s="73">
        <v>2017</v>
      </c>
      <c r="AB136" s="48"/>
      <c r="AC136" s="94"/>
      <c r="AD136" s="94"/>
      <c r="AE136" s="95"/>
      <c r="AF136" s="95"/>
    </row>
    <row r="137" spans="1:32" ht="30" x14ac:dyDescent="0.25">
      <c r="A137" s="41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17" t="s">
        <v>118</v>
      </c>
      <c r="S137" s="15" t="s">
        <v>55</v>
      </c>
      <c r="T137" s="18">
        <f>5+6</f>
        <v>11</v>
      </c>
      <c r="U137" s="18">
        <v>6</v>
      </c>
      <c r="V137" s="18">
        <v>23</v>
      </c>
      <c r="W137" s="18">
        <v>2</v>
      </c>
      <c r="X137" s="18">
        <v>2</v>
      </c>
      <c r="Y137" s="18">
        <v>2</v>
      </c>
      <c r="Z137" s="6">
        <f t="shared" si="28"/>
        <v>46</v>
      </c>
      <c r="AA137" s="15">
        <v>2020</v>
      </c>
    </row>
    <row r="138" spans="1:32" ht="30" x14ac:dyDescent="0.25">
      <c r="A138" s="41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17" t="s">
        <v>119</v>
      </c>
      <c r="S138" s="15" t="s">
        <v>55</v>
      </c>
      <c r="T138" s="18">
        <f>9+6</f>
        <v>15</v>
      </c>
      <c r="U138" s="18">
        <v>3</v>
      </c>
      <c r="V138" s="18">
        <f>2</f>
        <v>2</v>
      </c>
      <c r="W138" s="18">
        <v>2</v>
      </c>
      <c r="X138" s="18">
        <v>2</v>
      </c>
      <c r="Y138" s="18">
        <v>2</v>
      </c>
      <c r="Z138" s="6">
        <f t="shared" si="28"/>
        <v>26</v>
      </c>
      <c r="AA138" s="15">
        <v>2020</v>
      </c>
    </row>
    <row r="139" spans="1:32" ht="45.6" customHeight="1" x14ac:dyDescent="0.25">
      <c r="A139" s="71"/>
      <c r="B139" s="71"/>
      <c r="C139" s="71"/>
      <c r="D139" s="71" t="s">
        <v>23</v>
      </c>
      <c r="E139" s="71" t="s">
        <v>33</v>
      </c>
      <c r="F139" s="71" t="s">
        <v>23</v>
      </c>
      <c r="G139" s="71" t="s">
        <v>32</v>
      </c>
      <c r="H139" s="71" t="s">
        <v>23</v>
      </c>
      <c r="I139" s="71" t="s">
        <v>31</v>
      </c>
      <c r="J139" s="71" t="s">
        <v>24</v>
      </c>
      <c r="K139" s="71" t="s">
        <v>23</v>
      </c>
      <c r="L139" s="71" t="s">
        <v>34</v>
      </c>
      <c r="M139" s="71" t="s">
        <v>23</v>
      </c>
      <c r="N139" s="71" t="s">
        <v>23</v>
      </c>
      <c r="O139" s="71" t="s">
        <v>23</v>
      </c>
      <c r="P139" s="71" t="s">
        <v>23</v>
      </c>
      <c r="Q139" s="71" t="s">
        <v>23</v>
      </c>
      <c r="R139" s="76" t="s">
        <v>120</v>
      </c>
      <c r="S139" s="73" t="s">
        <v>59</v>
      </c>
      <c r="T139" s="75">
        <f t="shared" ref="T139:Z139" si="30">T141+T144+T147+T150</f>
        <v>12968.2</v>
      </c>
      <c r="U139" s="75">
        <f t="shared" si="30"/>
        <v>13547.599999999999</v>
      </c>
      <c r="V139" s="75">
        <f t="shared" si="30"/>
        <v>22383.5</v>
      </c>
      <c r="W139" s="75">
        <f t="shared" si="30"/>
        <v>20260.3</v>
      </c>
      <c r="X139" s="75">
        <f t="shared" si="30"/>
        <v>20260.3</v>
      </c>
      <c r="Y139" s="75">
        <f t="shared" si="30"/>
        <v>20260.3</v>
      </c>
      <c r="Z139" s="75">
        <f t="shared" si="30"/>
        <v>109680.2</v>
      </c>
      <c r="AA139" s="73">
        <v>2020</v>
      </c>
    </row>
    <row r="140" spans="1:32" ht="32.450000000000003" customHeight="1" x14ac:dyDescent="0.25">
      <c r="A140" s="41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17" t="s">
        <v>121</v>
      </c>
      <c r="S140" s="15" t="s">
        <v>28</v>
      </c>
      <c r="T140" s="8">
        <f t="shared" ref="T140:Z140" si="31">T142+T145+T148</f>
        <v>7673</v>
      </c>
      <c r="U140" s="8">
        <f t="shared" si="31"/>
        <v>4758</v>
      </c>
      <c r="V140" s="8">
        <f t="shared" si="31"/>
        <v>4301.5</v>
      </c>
      <c r="W140" s="8">
        <f t="shared" si="31"/>
        <v>1170</v>
      </c>
      <c r="X140" s="8">
        <f t="shared" si="31"/>
        <v>6482.5</v>
      </c>
      <c r="Y140" s="8">
        <f t="shared" si="31"/>
        <v>6482.5</v>
      </c>
      <c r="Z140" s="8">
        <f t="shared" si="31"/>
        <v>30867.5</v>
      </c>
      <c r="AA140" s="15">
        <v>2020</v>
      </c>
    </row>
    <row r="141" spans="1:32" ht="45" x14ac:dyDescent="0.25">
      <c r="A141" s="71" t="s">
        <v>23</v>
      </c>
      <c r="B141" s="71" t="s">
        <v>23</v>
      </c>
      <c r="C141" s="71" t="s">
        <v>34</v>
      </c>
      <c r="D141" s="71" t="s">
        <v>23</v>
      </c>
      <c r="E141" s="71" t="s">
        <v>33</v>
      </c>
      <c r="F141" s="71" t="s">
        <v>23</v>
      </c>
      <c r="G141" s="71" t="s">
        <v>32</v>
      </c>
      <c r="H141" s="71" t="s">
        <v>23</v>
      </c>
      <c r="I141" s="71" t="s">
        <v>31</v>
      </c>
      <c r="J141" s="71" t="s">
        <v>24</v>
      </c>
      <c r="K141" s="71" t="s">
        <v>23</v>
      </c>
      <c r="L141" s="71" t="s">
        <v>34</v>
      </c>
      <c r="M141" s="71" t="s">
        <v>23</v>
      </c>
      <c r="N141" s="71" t="s">
        <v>23</v>
      </c>
      <c r="O141" s="71" t="s">
        <v>23</v>
      </c>
      <c r="P141" s="71" t="s">
        <v>23</v>
      </c>
      <c r="Q141" s="71" t="s">
        <v>23</v>
      </c>
      <c r="R141" s="72" t="s">
        <v>122</v>
      </c>
      <c r="S141" s="73" t="s">
        <v>59</v>
      </c>
      <c r="T141" s="74">
        <f>2700-593.9</f>
        <v>2106.1</v>
      </c>
      <c r="U141" s="74">
        <f>2465.1-1132-246.5-62.4</f>
        <v>1024.1999999999998</v>
      </c>
      <c r="V141" s="74">
        <v>900</v>
      </c>
      <c r="W141" s="74">
        <v>252.2</v>
      </c>
      <c r="X141" s="74">
        <v>252.2</v>
      </c>
      <c r="Y141" s="74">
        <v>252.2</v>
      </c>
      <c r="Z141" s="75">
        <f t="shared" si="28"/>
        <v>4786.8999999999996</v>
      </c>
      <c r="AA141" s="73">
        <v>2020</v>
      </c>
    </row>
    <row r="142" spans="1:32" ht="29.45" customHeight="1" x14ac:dyDescent="0.25">
      <c r="A142" s="41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17" t="s">
        <v>123</v>
      </c>
      <c r="S142" s="15" t="s">
        <v>28</v>
      </c>
      <c r="T142" s="8">
        <v>3238</v>
      </c>
      <c r="U142" s="8">
        <v>3553</v>
      </c>
      <c r="V142" s="8">
        <v>2077</v>
      </c>
      <c r="W142" s="8">
        <v>1000</v>
      </c>
      <c r="X142" s="8">
        <v>3929.1</v>
      </c>
      <c r="Y142" s="8">
        <v>3929.1</v>
      </c>
      <c r="Z142" s="5">
        <f>T142+U142+V142+W142+X142+Y142</f>
        <v>17726.2</v>
      </c>
      <c r="AA142" s="15">
        <v>2020</v>
      </c>
    </row>
    <row r="143" spans="1:32" ht="30.6" customHeight="1" x14ac:dyDescent="0.25">
      <c r="A143" s="41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17" t="s">
        <v>124</v>
      </c>
      <c r="S143" s="15" t="s">
        <v>55</v>
      </c>
      <c r="T143" s="21">
        <v>6</v>
      </c>
      <c r="U143" s="21">
        <v>4</v>
      </c>
      <c r="V143" s="21"/>
      <c r="W143" s="21">
        <v>4</v>
      </c>
      <c r="X143" s="21">
        <v>4</v>
      </c>
      <c r="Y143" s="21">
        <v>4</v>
      </c>
      <c r="Z143" s="6">
        <f t="shared" si="28"/>
        <v>22</v>
      </c>
      <c r="AA143" s="15">
        <v>2020</v>
      </c>
    </row>
    <row r="144" spans="1:32" ht="45" x14ac:dyDescent="0.25">
      <c r="A144" s="71" t="s">
        <v>23</v>
      </c>
      <c r="B144" s="71" t="s">
        <v>23</v>
      </c>
      <c r="C144" s="71" t="s">
        <v>33</v>
      </c>
      <c r="D144" s="71" t="s">
        <v>23</v>
      </c>
      <c r="E144" s="71" t="s">
        <v>33</v>
      </c>
      <c r="F144" s="71" t="s">
        <v>23</v>
      </c>
      <c r="G144" s="71" t="s">
        <v>32</v>
      </c>
      <c r="H144" s="71" t="s">
        <v>23</v>
      </c>
      <c r="I144" s="71" t="s">
        <v>31</v>
      </c>
      <c r="J144" s="71" t="s">
        <v>24</v>
      </c>
      <c r="K144" s="71" t="s">
        <v>23</v>
      </c>
      <c r="L144" s="71" t="s">
        <v>34</v>
      </c>
      <c r="M144" s="71" t="s">
        <v>23</v>
      </c>
      <c r="N144" s="71" t="s">
        <v>23</v>
      </c>
      <c r="O144" s="71" t="s">
        <v>23</v>
      </c>
      <c r="P144" s="71" t="s">
        <v>23</v>
      </c>
      <c r="Q144" s="71" t="s">
        <v>23</v>
      </c>
      <c r="R144" s="72" t="s">
        <v>122</v>
      </c>
      <c r="S144" s="73" t="s">
        <v>59</v>
      </c>
      <c r="T144" s="74">
        <f>813-490</f>
        <v>323</v>
      </c>
      <c r="U144" s="74">
        <f>742.3-200-100-176.9</f>
        <v>265.39999999999998</v>
      </c>
      <c r="V144" s="74">
        <f>500-24.8</f>
        <v>475.2</v>
      </c>
      <c r="W144" s="74">
        <v>150</v>
      </c>
      <c r="X144" s="74">
        <v>150</v>
      </c>
      <c r="Y144" s="74">
        <v>150</v>
      </c>
      <c r="Z144" s="75">
        <f t="shared" si="28"/>
        <v>1513.6</v>
      </c>
      <c r="AA144" s="73">
        <v>2020</v>
      </c>
      <c r="AB144" s="94"/>
    </row>
    <row r="145" spans="1:32" ht="30" x14ac:dyDescent="0.25">
      <c r="A145" s="41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17" t="s">
        <v>125</v>
      </c>
      <c r="S145" s="15" t="s">
        <v>28</v>
      </c>
      <c r="T145" s="8">
        <f>1000+2400</f>
        <v>3400</v>
      </c>
      <c r="U145" s="8">
        <f>913-708</f>
        <v>205</v>
      </c>
      <c r="V145" s="8">
        <v>602</v>
      </c>
      <c r="W145" s="8">
        <v>70</v>
      </c>
      <c r="X145" s="8">
        <v>867.4</v>
      </c>
      <c r="Y145" s="8">
        <v>867.4</v>
      </c>
      <c r="Z145" s="5">
        <f t="shared" si="28"/>
        <v>6011.7999999999993</v>
      </c>
      <c r="AA145" s="15">
        <v>2020</v>
      </c>
    </row>
    <row r="146" spans="1:32" ht="30" x14ac:dyDescent="0.25">
      <c r="A146" s="41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17" t="s">
        <v>126</v>
      </c>
      <c r="S146" s="15" t="s">
        <v>12</v>
      </c>
      <c r="T146" s="8"/>
      <c r="U146" s="8">
        <f>365+498</f>
        <v>863</v>
      </c>
      <c r="V146" s="8">
        <v>125</v>
      </c>
      <c r="W146" s="8">
        <v>100</v>
      </c>
      <c r="X146" s="8">
        <v>347</v>
      </c>
      <c r="Y146" s="8">
        <v>347</v>
      </c>
      <c r="Z146" s="5">
        <f t="shared" si="28"/>
        <v>1782</v>
      </c>
      <c r="AA146" s="15">
        <v>2020</v>
      </c>
    </row>
    <row r="147" spans="1:32" ht="45" x14ac:dyDescent="0.25">
      <c r="A147" s="71" t="s">
        <v>23</v>
      </c>
      <c r="B147" s="71" t="s">
        <v>23</v>
      </c>
      <c r="C147" s="71" t="s">
        <v>30</v>
      </c>
      <c r="D147" s="71" t="s">
        <v>23</v>
      </c>
      <c r="E147" s="71" t="s">
        <v>33</v>
      </c>
      <c r="F147" s="71" t="s">
        <v>23</v>
      </c>
      <c r="G147" s="71" t="s">
        <v>32</v>
      </c>
      <c r="H147" s="71" t="s">
        <v>23</v>
      </c>
      <c r="I147" s="71" t="s">
        <v>31</v>
      </c>
      <c r="J147" s="71" t="s">
        <v>24</v>
      </c>
      <c r="K147" s="71" t="s">
        <v>23</v>
      </c>
      <c r="L147" s="71" t="s">
        <v>34</v>
      </c>
      <c r="M147" s="71" t="s">
        <v>23</v>
      </c>
      <c r="N147" s="71" t="s">
        <v>23</v>
      </c>
      <c r="O147" s="71" t="s">
        <v>23</v>
      </c>
      <c r="P147" s="71" t="s">
        <v>23</v>
      </c>
      <c r="Q147" s="71" t="s">
        <v>23</v>
      </c>
      <c r="R147" s="72" t="s">
        <v>122</v>
      </c>
      <c r="S147" s="73" t="s">
        <v>59</v>
      </c>
      <c r="T147" s="74">
        <v>1094.2</v>
      </c>
      <c r="U147" s="74">
        <f>999-129.2-441.6</f>
        <v>428.19999999999993</v>
      </c>
      <c r="V147" s="74">
        <f>700-69-0.7</f>
        <v>630.29999999999995</v>
      </c>
      <c r="W147" s="74">
        <v>200</v>
      </c>
      <c r="X147" s="74">
        <v>200</v>
      </c>
      <c r="Y147" s="74">
        <v>200</v>
      </c>
      <c r="Z147" s="75">
        <f t="shared" si="28"/>
        <v>2752.7</v>
      </c>
      <c r="AA147" s="73">
        <v>2020</v>
      </c>
    </row>
    <row r="148" spans="1:32" ht="30" x14ac:dyDescent="0.25">
      <c r="A148" s="41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17" t="s">
        <v>127</v>
      </c>
      <c r="S148" s="15" t="s">
        <v>28</v>
      </c>
      <c r="T148" s="8">
        <f>1944-909</f>
        <v>1035</v>
      </c>
      <c r="U148" s="8">
        <v>1000</v>
      </c>
      <c r="V148" s="8">
        <v>1622.5</v>
      </c>
      <c r="W148" s="8">
        <v>100</v>
      </c>
      <c r="X148" s="8">
        <v>1686</v>
      </c>
      <c r="Y148" s="8">
        <v>1686</v>
      </c>
      <c r="Z148" s="5">
        <f t="shared" si="28"/>
        <v>7129.5</v>
      </c>
      <c r="AA148" s="15">
        <v>2020</v>
      </c>
    </row>
    <row r="149" spans="1:32" ht="30" x14ac:dyDescent="0.25">
      <c r="A149" s="41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17" t="s">
        <v>128</v>
      </c>
      <c r="S149" s="15" t="s">
        <v>28</v>
      </c>
      <c r="T149" s="8">
        <v>250</v>
      </c>
      <c r="U149" s="8">
        <v>280</v>
      </c>
      <c r="V149" s="8">
        <v>350</v>
      </c>
      <c r="W149" s="8">
        <v>270</v>
      </c>
      <c r="X149" s="8">
        <v>270</v>
      </c>
      <c r="Y149" s="8">
        <v>270</v>
      </c>
      <c r="Z149" s="5">
        <f t="shared" si="28"/>
        <v>1690</v>
      </c>
      <c r="AA149" s="15">
        <v>2020</v>
      </c>
    </row>
    <row r="150" spans="1:32" ht="45" x14ac:dyDescent="0.25">
      <c r="A150" s="71" t="s">
        <v>23</v>
      </c>
      <c r="B150" s="71" t="s">
        <v>24</v>
      </c>
      <c r="C150" s="71" t="s">
        <v>25</v>
      </c>
      <c r="D150" s="71" t="s">
        <v>23</v>
      </c>
      <c r="E150" s="71" t="s">
        <v>33</v>
      </c>
      <c r="F150" s="71" t="s">
        <v>23</v>
      </c>
      <c r="G150" s="71" t="s">
        <v>32</v>
      </c>
      <c r="H150" s="71" t="s">
        <v>23</v>
      </c>
      <c r="I150" s="71" t="s">
        <v>31</v>
      </c>
      <c r="J150" s="71" t="s">
        <v>24</v>
      </c>
      <c r="K150" s="71" t="s">
        <v>23</v>
      </c>
      <c r="L150" s="71" t="s">
        <v>34</v>
      </c>
      <c r="M150" s="71" t="s">
        <v>23</v>
      </c>
      <c r="N150" s="71" t="s">
        <v>23</v>
      </c>
      <c r="O150" s="71" t="s">
        <v>23</v>
      </c>
      <c r="P150" s="71" t="s">
        <v>23</v>
      </c>
      <c r="Q150" s="71" t="s">
        <v>23</v>
      </c>
      <c r="R150" s="72" t="s">
        <v>122</v>
      </c>
      <c r="S150" s="73" t="s">
        <v>59</v>
      </c>
      <c r="T150" s="74">
        <f>30482.9-20300-474-264</f>
        <v>9444.9000000000015</v>
      </c>
      <c r="U150" s="74">
        <f>9173.4+420.3+1284.7+993.1-41.7</f>
        <v>11829.8</v>
      </c>
      <c r="V150" s="74">
        <f>19658.1-40+759.9</f>
        <v>20378</v>
      </c>
      <c r="W150" s="74">
        <v>19658.099999999999</v>
      </c>
      <c r="X150" s="74">
        <v>19658.099999999999</v>
      </c>
      <c r="Y150" s="74">
        <v>19658.099999999999</v>
      </c>
      <c r="Z150" s="75">
        <f t="shared" si="28"/>
        <v>100627</v>
      </c>
      <c r="AA150" s="73">
        <v>2020</v>
      </c>
    </row>
    <row r="151" spans="1:32" s="1" customFormat="1" ht="45" x14ac:dyDescent="0.25">
      <c r="A151" s="41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17" t="s">
        <v>129</v>
      </c>
      <c r="S151" s="15" t="s">
        <v>75</v>
      </c>
      <c r="T151" s="8">
        <v>1689.3</v>
      </c>
      <c r="U151" s="8">
        <v>2883.7</v>
      </c>
      <c r="V151" s="8">
        <v>2987.6</v>
      </c>
      <c r="W151" s="8">
        <v>2987.6</v>
      </c>
      <c r="X151" s="8">
        <v>2987.6</v>
      </c>
      <c r="Y151" s="8">
        <v>2987.6</v>
      </c>
      <c r="Z151" s="5">
        <f>(T151+U151+V151+W151+X151+Y151)</f>
        <v>16523.400000000001</v>
      </c>
      <c r="AA151" s="15">
        <v>2020</v>
      </c>
      <c r="AB151" s="48"/>
      <c r="AC151" s="48"/>
      <c r="AD151" s="48"/>
    </row>
    <row r="152" spans="1:32" ht="45" x14ac:dyDescent="0.25">
      <c r="A152" s="71" t="s">
        <v>23</v>
      </c>
      <c r="B152" s="71" t="s">
        <v>24</v>
      </c>
      <c r="C152" s="71" t="s">
        <v>25</v>
      </c>
      <c r="D152" s="71" t="s">
        <v>23</v>
      </c>
      <c r="E152" s="71" t="s">
        <v>33</v>
      </c>
      <c r="F152" s="71" t="s">
        <v>23</v>
      </c>
      <c r="G152" s="71" t="s">
        <v>32</v>
      </c>
      <c r="H152" s="71" t="s">
        <v>23</v>
      </c>
      <c r="I152" s="71" t="s">
        <v>31</v>
      </c>
      <c r="J152" s="71" t="s">
        <v>24</v>
      </c>
      <c r="K152" s="71" t="s">
        <v>23</v>
      </c>
      <c r="L152" s="71" t="s">
        <v>34</v>
      </c>
      <c r="M152" s="71" t="s">
        <v>23</v>
      </c>
      <c r="N152" s="71" t="s">
        <v>23</v>
      </c>
      <c r="O152" s="71" t="s">
        <v>23</v>
      </c>
      <c r="P152" s="71" t="s">
        <v>23</v>
      </c>
      <c r="Q152" s="71" t="s">
        <v>23</v>
      </c>
      <c r="R152" s="72" t="s">
        <v>130</v>
      </c>
      <c r="S152" s="73" t="s">
        <v>59</v>
      </c>
      <c r="T152" s="75">
        <v>919</v>
      </c>
      <c r="U152" s="75">
        <f>1250+185-125</f>
        <v>1310</v>
      </c>
      <c r="V152" s="75">
        <f>1000+40+20+100+200</f>
        <v>1360</v>
      </c>
      <c r="W152" s="75">
        <v>800</v>
      </c>
      <c r="X152" s="75">
        <v>800</v>
      </c>
      <c r="Y152" s="75">
        <v>600</v>
      </c>
      <c r="Z152" s="75">
        <f t="shared" si="28"/>
        <v>5789</v>
      </c>
      <c r="AA152" s="73">
        <v>2020</v>
      </c>
    </row>
    <row r="153" spans="1:32" s="22" customFormat="1" ht="30" x14ac:dyDescent="0.25">
      <c r="A153" s="41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17" t="s">
        <v>131</v>
      </c>
      <c r="S153" s="15" t="s">
        <v>55</v>
      </c>
      <c r="T153" s="18">
        <v>70</v>
      </c>
      <c r="U153" s="18">
        <v>75</v>
      </c>
      <c r="V153" s="18">
        <v>85</v>
      </c>
      <c r="W153" s="18">
        <v>60</v>
      </c>
      <c r="X153" s="18">
        <v>60</v>
      </c>
      <c r="Y153" s="18">
        <v>60</v>
      </c>
      <c r="Z153" s="6">
        <f t="shared" si="28"/>
        <v>410</v>
      </c>
      <c r="AA153" s="15">
        <v>2020</v>
      </c>
      <c r="AB153" s="48"/>
      <c r="AC153" s="48"/>
      <c r="AD153" s="48"/>
      <c r="AE153" s="1"/>
      <c r="AF153" s="1"/>
    </row>
    <row r="154" spans="1:32" s="22" customFormat="1" ht="30" x14ac:dyDescent="0.25">
      <c r="A154" s="71"/>
      <c r="B154" s="71"/>
      <c r="C154" s="71"/>
      <c r="D154" s="71" t="s">
        <v>23</v>
      </c>
      <c r="E154" s="71" t="s">
        <v>33</v>
      </c>
      <c r="F154" s="71" t="s">
        <v>23</v>
      </c>
      <c r="G154" s="71" t="s">
        <v>32</v>
      </c>
      <c r="H154" s="71" t="s">
        <v>23</v>
      </c>
      <c r="I154" s="71" t="s">
        <v>31</v>
      </c>
      <c r="J154" s="71" t="s">
        <v>24</v>
      </c>
      <c r="K154" s="71" t="s">
        <v>23</v>
      </c>
      <c r="L154" s="71" t="s">
        <v>34</v>
      </c>
      <c r="M154" s="71" t="s">
        <v>23</v>
      </c>
      <c r="N154" s="71" t="s">
        <v>23</v>
      </c>
      <c r="O154" s="71" t="s">
        <v>23</v>
      </c>
      <c r="P154" s="71" t="s">
        <v>23</v>
      </c>
      <c r="Q154" s="71" t="s">
        <v>23</v>
      </c>
      <c r="R154" s="72" t="s">
        <v>190</v>
      </c>
      <c r="S154" s="73" t="s">
        <v>59</v>
      </c>
      <c r="T154" s="74"/>
      <c r="U154" s="75">
        <f>U156</f>
        <v>7566.6</v>
      </c>
      <c r="V154" s="75">
        <f>V156+V157</f>
        <v>6049</v>
      </c>
      <c r="W154" s="74"/>
      <c r="X154" s="74"/>
      <c r="Y154" s="74"/>
      <c r="Z154" s="75">
        <f t="shared" ref="Z154:Z160" si="32">T154+U154+V154+W154+X154+Y154</f>
        <v>13615.6</v>
      </c>
      <c r="AA154" s="73">
        <v>2017</v>
      </c>
      <c r="AB154" s="48"/>
      <c r="AC154" s="48"/>
      <c r="AD154" s="48"/>
      <c r="AE154" s="1"/>
      <c r="AF154" s="1"/>
    </row>
    <row r="155" spans="1:32" s="1" customFormat="1" ht="45" x14ac:dyDescent="0.25">
      <c r="A155" s="41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17" t="s">
        <v>238</v>
      </c>
      <c r="S155" s="15" t="s">
        <v>54</v>
      </c>
      <c r="T155" s="18"/>
      <c r="U155" s="18">
        <v>47</v>
      </c>
      <c r="V155" s="18">
        <f>V160+V161</f>
        <v>117</v>
      </c>
      <c r="W155" s="18"/>
      <c r="X155" s="18"/>
      <c r="Y155" s="18"/>
      <c r="Z155" s="6">
        <f t="shared" ref="Z155" si="33">T155+U155+V155+W155+X155+Y155</f>
        <v>164</v>
      </c>
      <c r="AA155" s="15">
        <v>2017</v>
      </c>
      <c r="AB155" s="48"/>
      <c r="AC155" s="48"/>
      <c r="AD155" s="48"/>
    </row>
    <row r="156" spans="1:32" s="22" customFormat="1" ht="30" x14ac:dyDescent="0.25">
      <c r="A156" s="71" t="s">
        <v>23</v>
      </c>
      <c r="B156" s="71" t="s">
        <v>23</v>
      </c>
      <c r="C156" s="71" t="s">
        <v>39</v>
      </c>
      <c r="D156" s="71" t="s">
        <v>23</v>
      </c>
      <c r="E156" s="71" t="s">
        <v>33</v>
      </c>
      <c r="F156" s="71" t="s">
        <v>23</v>
      </c>
      <c r="G156" s="71" t="s">
        <v>32</v>
      </c>
      <c r="H156" s="71" t="s">
        <v>23</v>
      </c>
      <c r="I156" s="71" t="s">
        <v>31</v>
      </c>
      <c r="J156" s="71" t="s">
        <v>24</v>
      </c>
      <c r="K156" s="71" t="s">
        <v>23</v>
      </c>
      <c r="L156" s="71" t="s">
        <v>34</v>
      </c>
      <c r="M156" s="71" t="s">
        <v>23</v>
      </c>
      <c r="N156" s="71" t="s">
        <v>23</v>
      </c>
      <c r="O156" s="71" t="s">
        <v>23</v>
      </c>
      <c r="P156" s="71" t="s">
        <v>23</v>
      </c>
      <c r="Q156" s="71" t="s">
        <v>23</v>
      </c>
      <c r="R156" s="72" t="s">
        <v>190</v>
      </c>
      <c r="S156" s="73" t="s">
        <v>59</v>
      </c>
      <c r="T156" s="74"/>
      <c r="U156" s="74">
        <f>9884-2300-17.4</f>
        <v>7566.6</v>
      </c>
      <c r="V156" s="75"/>
      <c r="W156" s="74"/>
      <c r="X156" s="74"/>
      <c r="Y156" s="74"/>
      <c r="Z156" s="75">
        <f t="shared" ref="Z156" si="34">T156+U156+V156+W156+X156+Y156</f>
        <v>7566.6</v>
      </c>
      <c r="AA156" s="73">
        <v>2016</v>
      </c>
      <c r="AB156" s="48"/>
      <c r="AC156" s="48"/>
      <c r="AD156" s="48"/>
      <c r="AE156" s="1"/>
      <c r="AF156" s="1"/>
    </row>
    <row r="157" spans="1:32" s="22" customFormat="1" ht="30" x14ac:dyDescent="0.25">
      <c r="A157" s="71" t="s">
        <v>23</v>
      </c>
      <c r="B157" s="71" t="s">
        <v>24</v>
      </c>
      <c r="C157" s="71" t="s">
        <v>25</v>
      </c>
      <c r="D157" s="71" t="s">
        <v>23</v>
      </c>
      <c r="E157" s="71" t="s">
        <v>33</v>
      </c>
      <c r="F157" s="71" t="s">
        <v>23</v>
      </c>
      <c r="G157" s="71" t="s">
        <v>32</v>
      </c>
      <c r="H157" s="71" t="s">
        <v>23</v>
      </c>
      <c r="I157" s="71" t="s">
        <v>31</v>
      </c>
      <c r="J157" s="71" t="s">
        <v>24</v>
      </c>
      <c r="K157" s="71" t="s">
        <v>23</v>
      </c>
      <c r="L157" s="71" t="s">
        <v>34</v>
      </c>
      <c r="M157" s="71" t="s">
        <v>23</v>
      </c>
      <c r="N157" s="71" t="s">
        <v>23</v>
      </c>
      <c r="O157" s="71" t="s">
        <v>23</v>
      </c>
      <c r="P157" s="71" t="s">
        <v>23</v>
      </c>
      <c r="Q157" s="71" t="s">
        <v>23</v>
      </c>
      <c r="R157" s="72" t="s">
        <v>190</v>
      </c>
      <c r="S157" s="73" t="s">
        <v>59</v>
      </c>
      <c r="T157" s="74"/>
      <c r="U157" s="75"/>
      <c r="V157" s="75">
        <f>V158+V159</f>
        <v>6049</v>
      </c>
      <c r="W157" s="74"/>
      <c r="X157" s="74"/>
      <c r="Y157" s="74"/>
      <c r="Z157" s="75">
        <f t="shared" ref="Z157" si="35">T157+U157+V157+W157+X157+Y157</f>
        <v>6049</v>
      </c>
      <c r="AA157" s="73">
        <v>2017</v>
      </c>
      <c r="AB157" s="48"/>
      <c r="AC157" s="48"/>
      <c r="AD157" s="48"/>
      <c r="AE157" s="1"/>
      <c r="AF157" s="1"/>
    </row>
    <row r="158" spans="1:32" s="22" customFormat="1" ht="30" x14ac:dyDescent="0.25">
      <c r="A158" s="71" t="s">
        <v>23</v>
      </c>
      <c r="B158" s="71" t="s">
        <v>24</v>
      </c>
      <c r="C158" s="71" t="s">
        <v>25</v>
      </c>
      <c r="D158" s="71" t="s">
        <v>23</v>
      </c>
      <c r="E158" s="71" t="s">
        <v>33</v>
      </c>
      <c r="F158" s="71" t="s">
        <v>23</v>
      </c>
      <c r="G158" s="71" t="s">
        <v>32</v>
      </c>
      <c r="H158" s="71" t="s">
        <v>23</v>
      </c>
      <c r="I158" s="71" t="s">
        <v>31</v>
      </c>
      <c r="J158" s="71" t="s">
        <v>24</v>
      </c>
      <c r="K158" s="71" t="s">
        <v>23</v>
      </c>
      <c r="L158" s="71" t="s">
        <v>34</v>
      </c>
      <c r="M158" s="71" t="s">
        <v>23</v>
      </c>
      <c r="N158" s="71" t="s">
        <v>23</v>
      </c>
      <c r="O158" s="71" t="s">
        <v>23</v>
      </c>
      <c r="P158" s="71" t="s">
        <v>23</v>
      </c>
      <c r="Q158" s="71" t="s">
        <v>23</v>
      </c>
      <c r="R158" s="72" t="s">
        <v>190</v>
      </c>
      <c r="S158" s="73" t="s">
        <v>59</v>
      </c>
      <c r="T158" s="74"/>
      <c r="U158" s="75"/>
      <c r="V158" s="74">
        <f>2613.8+1977</f>
        <v>4590.8</v>
      </c>
      <c r="W158" s="74"/>
      <c r="X158" s="74"/>
      <c r="Y158" s="74"/>
      <c r="Z158" s="75">
        <f t="shared" ref="Z158:Z159" si="36">T158+U158+V158+W158+X158+Y158</f>
        <v>4590.8</v>
      </c>
      <c r="AA158" s="73">
        <v>2017</v>
      </c>
      <c r="AB158" s="48"/>
      <c r="AC158" s="48"/>
      <c r="AD158" s="48"/>
      <c r="AE158" s="1"/>
      <c r="AF158" s="1"/>
    </row>
    <row r="159" spans="1:32" s="22" customFormat="1" ht="30" x14ac:dyDescent="0.25">
      <c r="A159" s="71" t="s">
        <v>23</v>
      </c>
      <c r="B159" s="71" t="s">
        <v>24</v>
      </c>
      <c r="C159" s="71" t="s">
        <v>25</v>
      </c>
      <c r="D159" s="71" t="s">
        <v>23</v>
      </c>
      <c r="E159" s="71" t="s">
        <v>33</v>
      </c>
      <c r="F159" s="71" t="s">
        <v>23</v>
      </c>
      <c r="G159" s="71" t="s">
        <v>32</v>
      </c>
      <c r="H159" s="71" t="s">
        <v>23</v>
      </c>
      <c r="I159" s="71" t="s">
        <v>31</v>
      </c>
      <c r="J159" s="71" t="s">
        <v>24</v>
      </c>
      <c r="K159" s="71" t="s">
        <v>23</v>
      </c>
      <c r="L159" s="71" t="s">
        <v>34</v>
      </c>
      <c r="M159" s="71" t="s">
        <v>180</v>
      </c>
      <c r="N159" s="71" t="s">
        <v>23</v>
      </c>
      <c r="O159" s="71" t="s">
        <v>39</v>
      </c>
      <c r="P159" s="71" t="s">
        <v>24</v>
      </c>
      <c r="Q159" s="71" t="s">
        <v>208</v>
      </c>
      <c r="R159" s="72" t="s">
        <v>190</v>
      </c>
      <c r="S159" s="73" t="s">
        <v>59</v>
      </c>
      <c r="T159" s="74"/>
      <c r="U159" s="75"/>
      <c r="V159" s="74">
        <v>1458.2</v>
      </c>
      <c r="W159" s="74"/>
      <c r="X159" s="74"/>
      <c r="Y159" s="74"/>
      <c r="Z159" s="75">
        <f t="shared" si="36"/>
        <v>1458.2</v>
      </c>
      <c r="AA159" s="73">
        <v>2017</v>
      </c>
      <c r="AB159" s="48"/>
      <c r="AC159" s="48"/>
      <c r="AD159" s="48"/>
      <c r="AE159" s="1"/>
      <c r="AF159" s="1"/>
    </row>
    <row r="160" spans="1:32" s="1" customFormat="1" ht="30" x14ac:dyDescent="0.25">
      <c r="A160" s="41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17" t="s">
        <v>243</v>
      </c>
      <c r="S160" s="15" t="s">
        <v>54</v>
      </c>
      <c r="T160" s="18"/>
      <c r="U160" s="18">
        <v>47</v>
      </c>
      <c r="V160" s="18">
        <f>9+68</f>
        <v>77</v>
      </c>
      <c r="W160" s="18"/>
      <c r="X160" s="18"/>
      <c r="Y160" s="18"/>
      <c r="Z160" s="6">
        <f t="shared" si="32"/>
        <v>124</v>
      </c>
      <c r="AA160" s="15">
        <v>2017</v>
      </c>
      <c r="AB160" s="48"/>
      <c r="AC160" s="48"/>
      <c r="AD160" s="48"/>
    </row>
    <row r="161" spans="1:32" s="1" customFormat="1" ht="33" customHeight="1" x14ac:dyDescent="0.25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17" t="s">
        <v>244</v>
      </c>
      <c r="S161" s="15" t="s">
        <v>54</v>
      </c>
      <c r="T161" s="18"/>
      <c r="U161" s="18"/>
      <c r="V161" s="18">
        <v>40</v>
      </c>
      <c r="W161" s="18"/>
      <c r="X161" s="18"/>
      <c r="Y161" s="18"/>
      <c r="Z161" s="6">
        <f t="shared" ref="Z161" si="37">T161+U161+V161+W161+X161+Y161</f>
        <v>40</v>
      </c>
      <c r="AA161" s="15">
        <v>2017</v>
      </c>
      <c r="AB161" s="48"/>
      <c r="AC161" s="48"/>
      <c r="AD161" s="48"/>
    </row>
    <row r="162" spans="1:32" s="22" customFormat="1" ht="75" x14ac:dyDescent="0.25">
      <c r="A162" s="71" t="s">
        <v>23</v>
      </c>
      <c r="B162" s="71" t="s">
        <v>24</v>
      </c>
      <c r="C162" s="71" t="s">
        <v>25</v>
      </c>
      <c r="D162" s="71" t="s">
        <v>23</v>
      </c>
      <c r="E162" s="71" t="s">
        <v>33</v>
      </c>
      <c r="F162" s="71" t="s">
        <v>23</v>
      </c>
      <c r="G162" s="71" t="s">
        <v>32</v>
      </c>
      <c r="H162" s="71" t="s">
        <v>23</v>
      </c>
      <c r="I162" s="71" t="s">
        <v>31</v>
      </c>
      <c r="J162" s="71" t="s">
        <v>24</v>
      </c>
      <c r="K162" s="71" t="s">
        <v>23</v>
      </c>
      <c r="L162" s="71" t="s">
        <v>34</v>
      </c>
      <c r="M162" s="71" t="s">
        <v>23</v>
      </c>
      <c r="N162" s="71" t="s">
        <v>23</v>
      </c>
      <c r="O162" s="71" t="s">
        <v>23</v>
      </c>
      <c r="P162" s="71" t="s">
        <v>23</v>
      </c>
      <c r="Q162" s="71" t="s">
        <v>23</v>
      </c>
      <c r="R162" s="72" t="s">
        <v>206</v>
      </c>
      <c r="S162" s="73" t="s">
        <v>59</v>
      </c>
      <c r="T162" s="74"/>
      <c r="U162" s="75">
        <v>76158.5</v>
      </c>
      <c r="V162" s="74"/>
      <c r="W162" s="74"/>
      <c r="X162" s="74"/>
      <c r="Y162" s="74"/>
      <c r="Z162" s="75">
        <f t="shared" ref="Z162" si="38">T162+U162+V162+W162+X162+Y162</f>
        <v>76158.5</v>
      </c>
      <c r="AA162" s="73">
        <v>2016</v>
      </c>
      <c r="AB162" s="48"/>
      <c r="AC162" s="48"/>
      <c r="AD162" s="48"/>
      <c r="AE162" s="1"/>
      <c r="AF162" s="1"/>
    </row>
    <row r="163" spans="1:32" s="22" customFormat="1" ht="30" x14ac:dyDescent="0.25">
      <c r="A163" s="41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17" t="s">
        <v>142</v>
      </c>
      <c r="S163" s="15" t="s">
        <v>10</v>
      </c>
      <c r="T163" s="21"/>
      <c r="U163" s="21">
        <v>100</v>
      </c>
      <c r="V163" s="21"/>
      <c r="W163" s="21"/>
      <c r="X163" s="21"/>
      <c r="Y163" s="21"/>
      <c r="Z163" s="6">
        <v>100</v>
      </c>
      <c r="AA163" s="15">
        <v>2016</v>
      </c>
      <c r="AB163" s="48"/>
      <c r="AC163" s="48"/>
      <c r="AD163" s="48"/>
      <c r="AE163" s="1"/>
      <c r="AF163" s="1"/>
    </row>
    <row r="164" spans="1:32" ht="42.75" x14ac:dyDescent="0.25">
      <c r="A164" s="63" t="s">
        <v>23</v>
      </c>
      <c r="B164" s="63" t="s">
        <v>23</v>
      </c>
      <c r="C164" s="63" t="s">
        <v>23</v>
      </c>
      <c r="D164" s="63" t="s">
        <v>23</v>
      </c>
      <c r="E164" s="63" t="s">
        <v>33</v>
      </c>
      <c r="F164" s="63" t="s">
        <v>23</v>
      </c>
      <c r="G164" s="63" t="s">
        <v>32</v>
      </c>
      <c r="H164" s="63" t="s">
        <v>23</v>
      </c>
      <c r="I164" s="63" t="s">
        <v>31</v>
      </c>
      <c r="J164" s="63" t="s">
        <v>24</v>
      </c>
      <c r="K164" s="63" t="s">
        <v>23</v>
      </c>
      <c r="L164" s="63" t="s">
        <v>33</v>
      </c>
      <c r="M164" s="63" t="s">
        <v>23</v>
      </c>
      <c r="N164" s="63" t="s">
        <v>23</v>
      </c>
      <c r="O164" s="63" t="s">
        <v>23</v>
      </c>
      <c r="P164" s="63" t="s">
        <v>23</v>
      </c>
      <c r="Q164" s="63" t="s">
        <v>23</v>
      </c>
      <c r="R164" s="64" t="s">
        <v>40</v>
      </c>
      <c r="S164" s="28" t="s">
        <v>59</v>
      </c>
      <c r="T164" s="16">
        <f>T166</f>
        <v>92414.1</v>
      </c>
      <c r="U164" s="16">
        <f>U166+U198+U202+U206</f>
        <v>25403.1</v>
      </c>
      <c r="V164" s="16">
        <f>V166+V210+V212+V217+V222+V227+V232+V237+V242+V248+V254+V260+V265+V270+V275</f>
        <v>184548.59999999995</v>
      </c>
      <c r="W164" s="16">
        <f>W166</f>
        <v>7600</v>
      </c>
      <c r="X164" s="16">
        <f>X166</f>
        <v>9000</v>
      </c>
      <c r="Y164" s="16">
        <f>Y166</f>
        <v>9000</v>
      </c>
      <c r="Z164" s="16">
        <f t="shared" si="28"/>
        <v>327965.79999999993</v>
      </c>
      <c r="AA164" s="28">
        <v>2020</v>
      </c>
    </row>
    <row r="165" spans="1:32" ht="44.25" x14ac:dyDescent="0.25">
      <c r="A165" s="41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39" t="s">
        <v>132</v>
      </c>
      <c r="S165" s="15" t="s">
        <v>60</v>
      </c>
      <c r="T165" s="8">
        <f>T177+T183+T189+T195</f>
        <v>58.2</v>
      </c>
      <c r="U165" s="8">
        <f>U171+U201+(U205/1000)+(873.3/1000)</f>
        <v>27.765300000000003</v>
      </c>
      <c r="V165" s="8">
        <f>V171+V201+V205+V209+V211+V216+V221+V226+V231+V236+V241+V247+V253+V259+V269+V274+V279</f>
        <v>120.43999999999998</v>
      </c>
      <c r="W165" s="8">
        <f>W171+W201+W205+W209</f>
        <v>4</v>
      </c>
      <c r="X165" s="8">
        <f>X171+X201+X205+X209</f>
        <v>10.5</v>
      </c>
      <c r="Y165" s="8">
        <f>Y171+Y201+Y205+Y209</f>
        <v>10.5</v>
      </c>
      <c r="Z165" s="5">
        <f t="shared" si="28"/>
        <v>231.40530000000001</v>
      </c>
      <c r="AA165" s="15">
        <v>2020</v>
      </c>
    </row>
    <row r="166" spans="1:32" ht="59.25" x14ac:dyDescent="0.25">
      <c r="A166" s="71"/>
      <c r="B166" s="71"/>
      <c r="C166" s="71"/>
      <c r="D166" s="71" t="s">
        <v>23</v>
      </c>
      <c r="E166" s="71" t="s">
        <v>33</v>
      </c>
      <c r="F166" s="71" t="s">
        <v>23</v>
      </c>
      <c r="G166" s="71" t="s">
        <v>32</v>
      </c>
      <c r="H166" s="71" t="s">
        <v>23</v>
      </c>
      <c r="I166" s="71" t="s">
        <v>31</v>
      </c>
      <c r="J166" s="71" t="s">
        <v>24</v>
      </c>
      <c r="K166" s="71" t="s">
        <v>23</v>
      </c>
      <c r="L166" s="71" t="s">
        <v>23</v>
      </c>
      <c r="M166" s="71" t="s">
        <v>23</v>
      </c>
      <c r="N166" s="71" t="s">
        <v>23</v>
      </c>
      <c r="O166" s="71" t="s">
        <v>23</v>
      </c>
      <c r="P166" s="71" t="s">
        <v>23</v>
      </c>
      <c r="Q166" s="71" t="s">
        <v>23</v>
      </c>
      <c r="R166" s="76" t="s">
        <v>191</v>
      </c>
      <c r="S166" s="73" t="s">
        <v>59</v>
      </c>
      <c r="T166" s="75">
        <f t="shared" ref="T166:Y166" si="39">T167+T168</f>
        <v>92414.1</v>
      </c>
      <c r="U166" s="75">
        <f t="shared" si="39"/>
        <v>22928.899999999998</v>
      </c>
      <c r="V166" s="75">
        <f>V167+V168+V169+V170</f>
        <v>173055.5</v>
      </c>
      <c r="W166" s="75">
        <f t="shared" si="39"/>
        <v>7600</v>
      </c>
      <c r="X166" s="75">
        <f t="shared" si="39"/>
        <v>9000</v>
      </c>
      <c r="Y166" s="75">
        <f t="shared" si="39"/>
        <v>9000</v>
      </c>
      <c r="Z166" s="75">
        <f t="shared" si="28"/>
        <v>313998.5</v>
      </c>
      <c r="AA166" s="73">
        <v>2020</v>
      </c>
    </row>
    <row r="167" spans="1:32" ht="60" x14ac:dyDescent="0.25">
      <c r="A167" s="71"/>
      <c r="B167" s="71"/>
      <c r="C167" s="71"/>
      <c r="D167" s="71" t="s">
        <v>23</v>
      </c>
      <c r="E167" s="71" t="s">
        <v>33</v>
      </c>
      <c r="F167" s="71" t="s">
        <v>23</v>
      </c>
      <c r="G167" s="71" t="s">
        <v>32</v>
      </c>
      <c r="H167" s="71" t="s">
        <v>23</v>
      </c>
      <c r="I167" s="71" t="s">
        <v>31</v>
      </c>
      <c r="J167" s="71" t="s">
        <v>24</v>
      </c>
      <c r="K167" s="71" t="s">
        <v>23</v>
      </c>
      <c r="L167" s="71" t="s">
        <v>33</v>
      </c>
      <c r="M167" s="71" t="s">
        <v>23</v>
      </c>
      <c r="N167" s="71" t="s">
        <v>23</v>
      </c>
      <c r="O167" s="71" t="s">
        <v>23</v>
      </c>
      <c r="P167" s="71" t="s">
        <v>23</v>
      </c>
      <c r="Q167" s="71" t="s">
        <v>23</v>
      </c>
      <c r="R167" s="72" t="s">
        <v>133</v>
      </c>
      <c r="S167" s="73" t="s">
        <v>59</v>
      </c>
      <c r="T167" s="75">
        <f t="shared" ref="T167:Y167" si="40">T173+T179+T185+T191</f>
        <v>51768.5</v>
      </c>
      <c r="U167" s="75">
        <f t="shared" si="40"/>
        <v>22928.899999999998</v>
      </c>
      <c r="V167" s="75">
        <f t="shared" si="40"/>
        <v>5674.7999999999993</v>
      </c>
      <c r="W167" s="75">
        <f t="shared" si="40"/>
        <v>7600</v>
      </c>
      <c r="X167" s="75">
        <f t="shared" si="40"/>
        <v>9000</v>
      </c>
      <c r="Y167" s="75">
        <f t="shared" si="40"/>
        <v>9000</v>
      </c>
      <c r="Z167" s="75">
        <f>T167+U167+V167+W167+X167+Y167</f>
        <v>105972.2</v>
      </c>
      <c r="AA167" s="73">
        <v>2020</v>
      </c>
    </row>
    <row r="168" spans="1:32" ht="60" x14ac:dyDescent="0.25">
      <c r="A168" s="71"/>
      <c r="B168" s="71"/>
      <c r="C168" s="71"/>
      <c r="D168" s="71" t="s">
        <v>23</v>
      </c>
      <c r="E168" s="71" t="s">
        <v>33</v>
      </c>
      <c r="F168" s="71" t="s">
        <v>23</v>
      </c>
      <c r="G168" s="71" t="s">
        <v>32</v>
      </c>
      <c r="H168" s="71" t="s">
        <v>23</v>
      </c>
      <c r="I168" s="71" t="s">
        <v>31</v>
      </c>
      <c r="J168" s="71" t="s">
        <v>24</v>
      </c>
      <c r="K168" s="71" t="s">
        <v>39</v>
      </c>
      <c r="L168" s="71" t="s">
        <v>35</v>
      </c>
      <c r="M168" s="71" t="s">
        <v>24</v>
      </c>
      <c r="N168" s="71" t="s">
        <v>24</v>
      </c>
      <c r="O168" s="71"/>
      <c r="P168" s="71"/>
      <c r="Q168" s="71"/>
      <c r="R168" s="72" t="s">
        <v>133</v>
      </c>
      <c r="S168" s="73" t="s">
        <v>59</v>
      </c>
      <c r="T168" s="75">
        <f>T174+T180+T186+T192</f>
        <v>40645.600000000006</v>
      </c>
      <c r="U168" s="75"/>
      <c r="V168" s="75"/>
      <c r="W168" s="75"/>
      <c r="X168" s="75"/>
      <c r="Y168" s="75"/>
      <c r="Z168" s="75">
        <f>Z174+Z180+Z186+Z192</f>
        <v>40645.600000000006</v>
      </c>
      <c r="AA168" s="73">
        <v>2015</v>
      </c>
    </row>
    <row r="169" spans="1:32" ht="60" x14ac:dyDescent="0.25">
      <c r="A169" s="71"/>
      <c r="B169" s="71"/>
      <c r="C169" s="71"/>
      <c r="D169" s="71" t="s">
        <v>23</v>
      </c>
      <c r="E169" s="71" t="s">
        <v>33</v>
      </c>
      <c r="F169" s="71" t="s">
        <v>23</v>
      </c>
      <c r="G169" s="71" t="s">
        <v>32</v>
      </c>
      <c r="H169" s="71" t="s">
        <v>23</v>
      </c>
      <c r="I169" s="71" t="s">
        <v>31</v>
      </c>
      <c r="J169" s="71" t="s">
        <v>24</v>
      </c>
      <c r="K169" s="71" t="s">
        <v>23</v>
      </c>
      <c r="L169" s="71" t="s">
        <v>33</v>
      </c>
      <c r="M169" s="71" t="s">
        <v>180</v>
      </c>
      <c r="N169" s="71" t="s">
        <v>23</v>
      </c>
      <c r="O169" s="71" t="s">
        <v>25</v>
      </c>
      <c r="P169" s="71" t="s">
        <v>24</v>
      </c>
      <c r="Q169" s="71" t="s">
        <v>208</v>
      </c>
      <c r="R169" s="72" t="s">
        <v>133</v>
      </c>
      <c r="S169" s="73" t="s">
        <v>59</v>
      </c>
      <c r="T169" s="75"/>
      <c r="U169" s="75"/>
      <c r="V169" s="75">
        <f>V175+V181+V187+V193</f>
        <v>46700</v>
      </c>
      <c r="W169" s="75"/>
      <c r="X169" s="75"/>
      <c r="Y169" s="75"/>
      <c r="Z169" s="75">
        <f>V169</f>
        <v>46700</v>
      </c>
      <c r="AA169" s="73">
        <v>2017</v>
      </c>
    </row>
    <row r="170" spans="1:32" ht="60" x14ac:dyDescent="0.25">
      <c r="A170" s="71"/>
      <c r="B170" s="71"/>
      <c r="C170" s="71"/>
      <c r="D170" s="71" t="s">
        <v>23</v>
      </c>
      <c r="E170" s="71" t="s">
        <v>33</v>
      </c>
      <c r="F170" s="71" t="s">
        <v>23</v>
      </c>
      <c r="G170" s="71" t="s">
        <v>32</v>
      </c>
      <c r="H170" s="71" t="s">
        <v>23</v>
      </c>
      <c r="I170" s="71" t="s">
        <v>31</v>
      </c>
      <c r="J170" s="71" t="s">
        <v>24</v>
      </c>
      <c r="K170" s="71" t="s">
        <v>23</v>
      </c>
      <c r="L170" s="71" t="s">
        <v>33</v>
      </c>
      <c r="M170" s="71" t="s">
        <v>24</v>
      </c>
      <c r="N170" s="71" t="s">
        <v>23</v>
      </c>
      <c r="O170" s="71" t="s">
        <v>25</v>
      </c>
      <c r="P170" s="71" t="s">
        <v>24</v>
      </c>
      <c r="Q170" s="71" t="s">
        <v>216</v>
      </c>
      <c r="R170" s="72" t="s">
        <v>133</v>
      </c>
      <c r="S170" s="73" t="s">
        <v>59</v>
      </c>
      <c r="T170" s="75"/>
      <c r="U170" s="75"/>
      <c r="V170" s="75">
        <f>V176+V182+V188+V194</f>
        <v>120680.70000000001</v>
      </c>
      <c r="W170" s="75"/>
      <c r="X170" s="75"/>
      <c r="Y170" s="75"/>
      <c r="Z170" s="75">
        <f>V170</f>
        <v>120680.70000000001</v>
      </c>
      <c r="AA170" s="73">
        <v>2017</v>
      </c>
    </row>
    <row r="171" spans="1:32" ht="60" x14ac:dyDescent="0.25">
      <c r="A171" s="41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17" t="s">
        <v>134</v>
      </c>
      <c r="S171" s="15" t="s">
        <v>60</v>
      </c>
      <c r="T171" s="8">
        <f t="shared" ref="T171:Y171" si="41">T177+T183+T189+T195</f>
        <v>58.2</v>
      </c>
      <c r="U171" s="8">
        <f t="shared" si="41"/>
        <v>25.200000000000003</v>
      </c>
      <c r="V171" s="8">
        <f t="shared" si="41"/>
        <v>112.19999999999999</v>
      </c>
      <c r="W171" s="8">
        <f t="shared" si="41"/>
        <v>4</v>
      </c>
      <c r="X171" s="8">
        <f t="shared" si="41"/>
        <v>10.5</v>
      </c>
      <c r="Y171" s="8">
        <f t="shared" si="41"/>
        <v>10.5</v>
      </c>
      <c r="Z171" s="5">
        <f t="shared" si="28"/>
        <v>220.6</v>
      </c>
      <c r="AA171" s="15">
        <v>2020</v>
      </c>
    </row>
    <row r="172" spans="1:32" ht="60" x14ac:dyDescent="0.25">
      <c r="A172" s="71" t="s">
        <v>23</v>
      </c>
      <c r="B172" s="71" t="s">
        <v>23</v>
      </c>
      <c r="C172" s="71" t="s">
        <v>34</v>
      </c>
      <c r="D172" s="71" t="s">
        <v>23</v>
      </c>
      <c r="E172" s="71" t="s">
        <v>33</v>
      </c>
      <c r="F172" s="71" t="s">
        <v>23</v>
      </c>
      <c r="G172" s="71" t="s">
        <v>32</v>
      </c>
      <c r="H172" s="71" t="s">
        <v>23</v>
      </c>
      <c r="I172" s="71" t="s">
        <v>31</v>
      </c>
      <c r="J172" s="71" t="s">
        <v>24</v>
      </c>
      <c r="K172" s="71" t="s">
        <v>23</v>
      </c>
      <c r="L172" s="71" t="s">
        <v>23</v>
      </c>
      <c r="M172" s="71" t="s">
        <v>23</v>
      </c>
      <c r="N172" s="71" t="s">
        <v>23</v>
      </c>
      <c r="O172" s="71" t="s">
        <v>23</v>
      </c>
      <c r="P172" s="71" t="s">
        <v>23</v>
      </c>
      <c r="Q172" s="71" t="s">
        <v>23</v>
      </c>
      <c r="R172" s="72" t="s">
        <v>133</v>
      </c>
      <c r="S172" s="73" t="s">
        <v>59</v>
      </c>
      <c r="T172" s="75">
        <f t="shared" ref="T172:Y172" si="42">T173+T174</f>
        <v>25150</v>
      </c>
      <c r="U172" s="75">
        <f t="shared" si="42"/>
        <v>6049.5999999999995</v>
      </c>
      <c r="V172" s="75">
        <f>V173+V175+V176</f>
        <v>56746.200000000004</v>
      </c>
      <c r="W172" s="75">
        <f t="shared" si="42"/>
        <v>1900</v>
      </c>
      <c r="X172" s="75">
        <f t="shared" si="42"/>
        <v>2250</v>
      </c>
      <c r="Y172" s="75">
        <f t="shared" si="42"/>
        <v>2250</v>
      </c>
      <c r="Z172" s="75">
        <f t="shared" si="28"/>
        <v>94345.8</v>
      </c>
      <c r="AA172" s="73">
        <v>2020</v>
      </c>
    </row>
    <row r="173" spans="1:32" ht="60" x14ac:dyDescent="0.25">
      <c r="A173" s="71" t="s">
        <v>23</v>
      </c>
      <c r="B173" s="71" t="s">
        <v>23</v>
      </c>
      <c r="C173" s="71" t="s">
        <v>34</v>
      </c>
      <c r="D173" s="71" t="s">
        <v>23</v>
      </c>
      <c r="E173" s="71" t="s">
        <v>33</v>
      </c>
      <c r="F173" s="71" t="s">
        <v>23</v>
      </c>
      <c r="G173" s="71" t="s">
        <v>32</v>
      </c>
      <c r="H173" s="71" t="s">
        <v>23</v>
      </c>
      <c r="I173" s="71" t="s">
        <v>31</v>
      </c>
      <c r="J173" s="71" t="s">
        <v>24</v>
      </c>
      <c r="K173" s="71" t="s">
        <v>23</v>
      </c>
      <c r="L173" s="71" t="s">
        <v>33</v>
      </c>
      <c r="M173" s="71" t="s">
        <v>23</v>
      </c>
      <c r="N173" s="71" t="s">
        <v>23</v>
      </c>
      <c r="O173" s="71" t="s">
        <v>23</v>
      </c>
      <c r="P173" s="71" t="s">
        <v>23</v>
      </c>
      <c r="Q173" s="71" t="s">
        <v>23</v>
      </c>
      <c r="R173" s="72" t="s">
        <v>133</v>
      </c>
      <c r="S173" s="73" t="s">
        <v>59</v>
      </c>
      <c r="T173" s="74">
        <v>13054.7</v>
      </c>
      <c r="U173" s="74">
        <f>8000-1708+246.5-273.3-215.6</f>
        <v>6049.5999999999995</v>
      </c>
      <c r="V173" s="74">
        <v>1581.4</v>
      </c>
      <c r="W173" s="74">
        <v>1900</v>
      </c>
      <c r="X173" s="74">
        <v>2250</v>
      </c>
      <c r="Y173" s="74">
        <v>2250</v>
      </c>
      <c r="Z173" s="75">
        <f t="shared" si="28"/>
        <v>27085.7</v>
      </c>
      <c r="AA173" s="73">
        <v>2020</v>
      </c>
      <c r="AB173" s="47"/>
    </row>
    <row r="174" spans="1:32" ht="60" x14ac:dyDescent="0.25">
      <c r="A174" s="71" t="s">
        <v>23</v>
      </c>
      <c r="B174" s="71" t="s">
        <v>23</v>
      </c>
      <c r="C174" s="71" t="s">
        <v>34</v>
      </c>
      <c r="D174" s="71" t="s">
        <v>23</v>
      </c>
      <c r="E174" s="71" t="s">
        <v>33</v>
      </c>
      <c r="F174" s="71" t="s">
        <v>23</v>
      </c>
      <c r="G174" s="71" t="s">
        <v>32</v>
      </c>
      <c r="H174" s="71" t="s">
        <v>23</v>
      </c>
      <c r="I174" s="71" t="s">
        <v>31</v>
      </c>
      <c r="J174" s="71" t="s">
        <v>24</v>
      </c>
      <c r="K174" s="71" t="s">
        <v>39</v>
      </c>
      <c r="L174" s="71" t="s">
        <v>35</v>
      </c>
      <c r="M174" s="71" t="s">
        <v>24</v>
      </c>
      <c r="N174" s="71" t="s">
        <v>24</v>
      </c>
      <c r="O174" s="71"/>
      <c r="P174" s="71"/>
      <c r="Q174" s="71"/>
      <c r="R174" s="72" t="s">
        <v>133</v>
      </c>
      <c r="S174" s="73" t="s">
        <v>59</v>
      </c>
      <c r="T174" s="74">
        <v>12095.3</v>
      </c>
      <c r="U174" s="74"/>
      <c r="V174" s="74"/>
      <c r="W174" s="74"/>
      <c r="X174" s="74"/>
      <c r="Y174" s="74"/>
      <c r="Z174" s="75">
        <f t="shared" si="28"/>
        <v>12095.3</v>
      </c>
      <c r="AA174" s="73">
        <v>2015</v>
      </c>
      <c r="AB174" s="47"/>
    </row>
    <row r="175" spans="1:32" s="78" customFormat="1" ht="60" x14ac:dyDescent="0.25">
      <c r="A175" s="71" t="s">
        <v>23</v>
      </c>
      <c r="B175" s="71" t="s">
        <v>23</v>
      </c>
      <c r="C175" s="71" t="s">
        <v>34</v>
      </c>
      <c r="D175" s="71" t="s">
        <v>23</v>
      </c>
      <c r="E175" s="71" t="s">
        <v>33</v>
      </c>
      <c r="F175" s="71" t="s">
        <v>23</v>
      </c>
      <c r="G175" s="71" t="s">
        <v>32</v>
      </c>
      <c r="H175" s="71" t="s">
        <v>23</v>
      </c>
      <c r="I175" s="71" t="s">
        <v>31</v>
      </c>
      <c r="J175" s="71" t="s">
        <v>24</v>
      </c>
      <c r="K175" s="71" t="s">
        <v>23</v>
      </c>
      <c r="L175" s="71" t="s">
        <v>33</v>
      </c>
      <c r="M175" s="71" t="s">
        <v>180</v>
      </c>
      <c r="N175" s="71" t="s">
        <v>23</v>
      </c>
      <c r="O175" s="71" t="s">
        <v>25</v>
      </c>
      <c r="P175" s="71" t="s">
        <v>24</v>
      </c>
      <c r="Q175" s="71" t="s">
        <v>208</v>
      </c>
      <c r="R175" s="72" t="s">
        <v>133</v>
      </c>
      <c r="S175" s="73" t="s">
        <v>59</v>
      </c>
      <c r="T175" s="74"/>
      <c r="U175" s="74"/>
      <c r="V175" s="74">
        <v>15391</v>
      </c>
      <c r="W175" s="74"/>
      <c r="X175" s="74"/>
      <c r="Y175" s="74"/>
      <c r="Z175" s="75">
        <f>V175</f>
        <v>15391</v>
      </c>
      <c r="AA175" s="73">
        <v>2017</v>
      </c>
      <c r="AB175" s="94"/>
      <c r="AC175" s="94"/>
      <c r="AD175" s="94"/>
      <c r="AE175" s="95"/>
      <c r="AF175" s="95"/>
    </row>
    <row r="176" spans="1:32" s="78" customFormat="1" ht="60" x14ac:dyDescent="0.25">
      <c r="A176" s="71" t="s">
        <v>23</v>
      </c>
      <c r="B176" s="71" t="s">
        <v>23</v>
      </c>
      <c r="C176" s="71" t="s">
        <v>34</v>
      </c>
      <c r="D176" s="71" t="s">
        <v>23</v>
      </c>
      <c r="E176" s="71" t="s">
        <v>33</v>
      </c>
      <c r="F176" s="71" t="s">
        <v>23</v>
      </c>
      <c r="G176" s="71" t="s">
        <v>32</v>
      </c>
      <c r="H176" s="71" t="s">
        <v>23</v>
      </c>
      <c r="I176" s="71" t="s">
        <v>31</v>
      </c>
      <c r="J176" s="71" t="s">
        <v>24</v>
      </c>
      <c r="K176" s="71" t="s">
        <v>23</v>
      </c>
      <c r="L176" s="71" t="s">
        <v>33</v>
      </c>
      <c r="M176" s="71" t="s">
        <v>24</v>
      </c>
      <c r="N176" s="71" t="s">
        <v>23</v>
      </c>
      <c r="O176" s="71" t="s">
        <v>25</v>
      </c>
      <c r="P176" s="71" t="s">
        <v>24</v>
      </c>
      <c r="Q176" s="71" t="s">
        <v>211</v>
      </c>
      <c r="R176" s="72" t="s">
        <v>133</v>
      </c>
      <c r="S176" s="73" t="s">
        <v>59</v>
      </c>
      <c r="T176" s="74"/>
      <c r="U176" s="74"/>
      <c r="V176" s="74">
        <v>39773.800000000003</v>
      </c>
      <c r="W176" s="74"/>
      <c r="X176" s="74"/>
      <c r="Y176" s="74"/>
      <c r="Z176" s="75">
        <f>V176</f>
        <v>39773.800000000003</v>
      </c>
      <c r="AA176" s="73">
        <v>2017</v>
      </c>
      <c r="AB176" s="94"/>
      <c r="AC176" s="94"/>
      <c r="AD176" s="94"/>
      <c r="AE176" s="95"/>
      <c r="AF176" s="95"/>
    </row>
    <row r="177" spans="1:32" ht="60" x14ac:dyDescent="0.25">
      <c r="A177" s="41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17" t="s">
        <v>135</v>
      </c>
      <c r="S177" s="15" t="s">
        <v>60</v>
      </c>
      <c r="T177" s="8">
        <v>15.5</v>
      </c>
      <c r="U177" s="8">
        <v>6.5</v>
      </c>
      <c r="V177" s="8">
        <v>39.700000000000003</v>
      </c>
      <c r="W177" s="8">
        <v>1</v>
      </c>
      <c r="X177" s="8">
        <v>2.9</v>
      </c>
      <c r="Y177" s="8">
        <v>2.9</v>
      </c>
      <c r="Z177" s="5">
        <f t="shared" si="28"/>
        <v>68.500000000000014</v>
      </c>
      <c r="AA177" s="15">
        <v>2020</v>
      </c>
    </row>
    <row r="178" spans="1:32" ht="60" x14ac:dyDescent="0.25">
      <c r="A178" s="71" t="s">
        <v>23</v>
      </c>
      <c r="B178" s="71" t="s">
        <v>23</v>
      </c>
      <c r="C178" s="71" t="s">
        <v>33</v>
      </c>
      <c r="D178" s="71" t="s">
        <v>23</v>
      </c>
      <c r="E178" s="71" t="s">
        <v>33</v>
      </c>
      <c r="F178" s="71" t="s">
        <v>23</v>
      </c>
      <c r="G178" s="71" t="s">
        <v>32</v>
      </c>
      <c r="H178" s="71" t="s">
        <v>23</v>
      </c>
      <c r="I178" s="71" t="s">
        <v>31</v>
      </c>
      <c r="J178" s="71" t="s">
        <v>24</v>
      </c>
      <c r="K178" s="71" t="s">
        <v>23</v>
      </c>
      <c r="L178" s="71" t="s">
        <v>23</v>
      </c>
      <c r="M178" s="71" t="s">
        <v>23</v>
      </c>
      <c r="N178" s="71" t="s">
        <v>23</v>
      </c>
      <c r="O178" s="71" t="s">
        <v>23</v>
      </c>
      <c r="P178" s="71" t="s">
        <v>23</v>
      </c>
      <c r="Q178" s="71" t="s">
        <v>23</v>
      </c>
      <c r="R178" s="72" t="s">
        <v>133</v>
      </c>
      <c r="S178" s="73" t="s">
        <v>59</v>
      </c>
      <c r="T178" s="75">
        <f>T179+T180</f>
        <v>24446.9</v>
      </c>
      <c r="U178" s="75">
        <f t="shared" ref="U178:Y178" si="43">U179+U180</f>
        <v>6266.4000000000005</v>
      </c>
      <c r="V178" s="75">
        <f>V179+V181+V182</f>
        <v>32062.5</v>
      </c>
      <c r="W178" s="75">
        <f t="shared" si="43"/>
        <v>1900</v>
      </c>
      <c r="X178" s="75">
        <f t="shared" si="43"/>
        <v>2250</v>
      </c>
      <c r="Y178" s="75">
        <f t="shared" si="43"/>
        <v>2250</v>
      </c>
      <c r="Z178" s="75">
        <f>Z179+Z180+Z181+Z182</f>
        <v>69175.8</v>
      </c>
      <c r="AA178" s="73">
        <v>2020</v>
      </c>
    </row>
    <row r="179" spans="1:32" ht="60" x14ac:dyDescent="0.25">
      <c r="A179" s="71" t="s">
        <v>23</v>
      </c>
      <c r="B179" s="71" t="s">
        <v>23</v>
      </c>
      <c r="C179" s="71" t="s">
        <v>33</v>
      </c>
      <c r="D179" s="71" t="s">
        <v>23</v>
      </c>
      <c r="E179" s="71" t="s">
        <v>33</v>
      </c>
      <c r="F179" s="71" t="s">
        <v>23</v>
      </c>
      <c r="G179" s="71" t="s">
        <v>32</v>
      </c>
      <c r="H179" s="71" t="s">
        <v>23</v>
      </c>
      <c r="I179" s="71" t="s">
        <v>31</v>
      </c>
      <c r="J179" s="71" t="s">
        <v>24</v>
      </c>
      <c r="K179" s="71" t="s">
        <v>23</v>
      </c>
      <c r="L179" s="71" t="s">
        <v>33</v>
      </c>
      <c r="M179" s="71" t="s">
        <v>23</v>
      </c>
      <c r="N179" s="71" t="s">
        <v>23</v>
      </c>
      <c r="O179" s="71" t="s">
        <v>23</v>
      </c>
      <c r="P179" s="71" t="s">
        <v>23</v>
      </c>
      <c r="Q179" s="71" t="s">
        <v>23</v>
      </c>
      <c r="R179" s="72" t="s">
        <v>133</v>
      </c>
      <c r="S179" s="73" t="s">
        <v>59</v>
      </c>
      <c r="T179" s="74">
        <f>4500+8038.2</f>
        <v>12538.2</v>
      </c>
      <c r="U179" s="74">
        <f>8000-951+100-8.4-874.2</f>
        <v>6266.4000000000005</v>
      </c>
      <c r="V179" s="74">
        <v>1443.3</v>
      </c>
      <c r="W179" s="74">
        <v>1900</v>
      </c>
      <c r="X179" s="74">
        <v>2250</v>
      </c>
      <c r="Y179" s="74">
        <v>2250</v>
      </c>
      <c r="Z179" s="75">
        <f t="shared" si="28"/>
        <v>26647.9</v>
      </c>
      <c r="AA179" s="73">
        <v>2020</v>
      </c>
    </row>
    <row r="180" spans="1:32" ht="60" x14ac:dyDescent="0.25">
      <c r="A180" s="71" t="s">
        <v>23</v>
      </c>
      <c r="B180" s="71" t="s">
        <v>23</v>
      </c>
      <c r="C180" s="71" t="s">
        <v>33</v>
      </c>
      <c r="D180" s="71" t="s">
        <v>23</v>
      </c>
      <c r="E180" s="71" t="s">
        <v>33</v>
      </c>
      <c r="F180" s="71" t="s">
        <v>23</v>
      </c>
      <c r="G180" s="71" t="s">
        <v>32</v>
      </c>
      <c r="H180" s="71" t="s">
        <v>23</v>
      </c>
      <c r="I180" s="71" t="s">
        <v>31</v>
      </c>
      <c r="J180" s="71" t="s">
        <v>24</v>
      </c>
      <c r="K180" s="71" t="s">
        <v>39</v>
      </c>
      <c r="L180" s="71" t="s">
        <v>35</v>
      </c>
      <c r="M180" s="71" t="s">
        <v>24</v>
      </c>
      <c r="N180" s="71" t="s">
        <v>24</v>
      </c>
      <c r="O180" s="71"/>
      <c r="P180" s="71"/>
      <c r="Q180" s="71"/>
      <c r="R180" s="72" t="s">
        <v>133</v>
      </c>
      <c r="S180" s="73" t="s">
        <v>59</v>
      </c>
      <c r="T180" s="74">
        <v>11908.7</v>
      </c>
      <c r="U180" s="74"/>
      <c r="V180" s="74"/>
      <c r="W180" s="74"/>
      <c r="X180" s="74"/>
      <c r="Y180" s="74"/>
      <c r="Z180" s="75">
        <f t="shared" si="28"/>
        <v>11908.7</v>
      </c>
      <c r="AA180" s="73">
        <v>2015</v>
      </c>
    </row>
    <row r="181" spans="1:32" s="78" customFormat="1" ht="60" x14ac:dyDescent="0.25">
      <c r="A181" s="71" t="s">
        <v>23</v>
      </c>
      <c r="B181" s="71" t="s">
        <v>23</v>
      </c>
      <c r="C181" s="71" t="s">
        <v>33</v>
      </c>
      <c r="D181" s="71" t="s">
        <v>23</v>
      </c>
      <c r="E181" s="71" t="s">
        <v>33</v>
      </c>
      <c r="F181" s="71" t="s">
        <v>23</v>
      </c>
      <c r="G181" s="71" t="s">
        <v>32</v>
      </c>
      <c r="H181" s="71" t="s">
        <v>23</v>
      </c>
      <c r="I181" s="71" t="s">
        <v>31</v>
      </c>
      <c r="J181" s="71" t="s">
        <v>24</v>
      </c>
      <c r="K181" s="71" t="s">
        <v>23</v>
      </c>
      <c r="L181" s="71" t="s">
        <v>33</v>
      </c>
      <c r="M181" s="71" t="s">
        <v>180</v>
      </c>
      <c r="N181" s="71" t="s">
        <v>23</v>
      </c>
      <c r="O181" s="71" t="s">
        <v>25</v>
      </c>
      <c r="P181" s="71" t="s">
        <v>24</v>
      </c>
      <c r="Q181" s="71" t="s">
        <v>208</v>
      </c>
      <c r="R181" s="72" t="s">
        <v>133</v>
      </c>
      <c r="S181" s="73" t="s">
        <v>59</v>
      </c>
      <c r="T181" s="74"/>
      <c r="U181" s="74"/>
      <c r="V181" s="74">
        <v>8543</v>
      </c>
      <c r="W181" s="74"/>
      <c r="X181" s="74"/>
      <c r="Y181" s="74"/>
      <c r="Z181" s="75">
        <f>V181</f>
        <v>8543</v>
      </c>
      <c r="AA181" s="73">
        <v>2017</v>
      </c>
      <c r="AB181" s="94"/>
      <c r="AC181" s="94"/>
      <c r="AD181" s="94"/>
      <c r="AE181" s="95"/>
      <c r="AF181" s="95"/>
    </row>
    <row r="182" spans="1:32" s="78" customFormat="1" ht="60" x14ac:dyDescent="0.25">
      <c r="A182" s="71" t="s">
        <v>23</v>
      </c>
      <c r="B182" s="71" t="s">
        <v>23</v>
      </c>
      <c r="C182" s="71" t="s">
        <v>33</v>
      </c>
      <c r="D182" s="71" t="s">
        <v>23</v>
      </c>
      <c r="E182" s="71" t="s">
        <v>33</v>
      </c>
      <c r="F182" s="71" t="s">
        <v>23</v>
      </c>
      <c r="G182" s="71" t="s">
        <v>32</v>
      </c>
      <c r="H182" s="71" t="s">
        <v>23</v>
      </c>
      <c r="I182" s="71" t="s">
        <v>31</v>
      </c>
      <c r="J182" s="71" t="s">
        <v>24</v>
      </c>
      <c r="K182" s="71" t="s">
        <v>23</v>
      </c>
      <c r="L182" s="71" t="s">
        <v>33</v>
      </c>
      <c r="M182" s="71" t="s">
        <v>24</v>
      </c>
      <c r="N182" s="71" t="s">
        <v>23</v>
      </c>
      <c r="O182" s="71" t="s">
        <v>25</v>
      </c>
      <c r="P182" s="71" t="s">
        <v>24</v>
      </c>
      <c r="Q182" s="71" t="s">
        <v>211</v>
      </c>
      <c r="R182" s="72" t="s">
        <v>133</v>
      </c>
      <c r="S182" s="73" t="s">
        <v>59</v>
      </c>
      <c r="T182" s="74"/>
      <c r="U182" s="74"/>
      <c r="V182" s="74">
        <v>22076.2</v>
      </c>
      <c r="W182" s="74"/>
      <c r="X182" s="74"/>
      <c r="Y182" s="74"/>
      <c r="Z182" s="75">
        <f>V182</f>
        <v>22076.2</v>
      </c>
      <c r="AA182" s="73">
        <v>2017</v>
      </c>
      <c r="AB182" s="94"/>
      <c r="AC182" s="94"/>
      <c r="AD182" s="94"/>
      <c r="AE182" s="95"/>
      <c r="AF182" s="95"/>
    </row>
    <row r="183" spans="1:32" ht="60" x14ac:dyDescent="0.25">
      <c r="A183" s="41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17" t="s">
        <v>136</v>
      </c>
      <c r="S183" s="15" t="s">
        <v>60</v>
      </c>
      <c r="T183" s="8">
        <f>15.5+2.1</f>
        <v>17.600000000000001</v>
      </c>
      <c r="U183" s="8">
        <v>5.7</v>
      </c>
      <c r="V183" s="8">
        <v>18.100000000000001</v>
      </c>
      <c r="W183" s="8">
        <v>1</v>
      </c>
      <c r="X183" s="8">
        <v>2.4</v>
      </c>
      <c r="Y183" s="8">
        <v>2.4</v>
      </c>
      <c r="Z183" s="5">
        <f t="shared" si="28"/>
        <v>47.2</v>
      </c>
      <c r="AA183" s="15">
        <v>2020</v>
      </c>
    </row>
    <row r="184" spans="1:32" ht="60" x14ac:dyDescent="0.25">
      <c r="A184" s="71" t="s">
        <v>23</v>
      </c>
      <c r="B184" s="71" t="s">
        <v>23</v>
      </c>
      <c r="C184" s="71" t="s">
        <v>30</v>
      </c>
      <c r="D184" s="71" t="s">
        <v>23</v>
      </c>
      <c r="E184" s="71" t="s">
        <v>33</v>
      </c>
      <c r="F184" s="71" t="s">
        <v>23</v>
      </c>
      <c r="G184" s="71" t="s">
        <v>32</v>
      </c>
      <c r="H184" s="71" t="s">
        <v>23</v>
      </c>
      <c r="I184" s="71" t="s">
        <v>31</v>
      </c>
      <c r="J184" s="71" t="s">
        <v>24</v>
      </c>
      <c r="K184" s="71" t="s">
        <v>23</v>
      </c>
      <c r="L184" s="71" t="s">
        <v>23</v>
      </c>
      <c r="M184" s="71" t="s">
        <v>23</v>
      </c>
      <c r="N184" s="71" t="s">
        <v>23</v>
      </c>
      <c r="O184" s="71" t="s">
        <v>23</v>
      </c>
      <c r="P184" s="71" t="s">
        <v>23</v>
      </c>
      <c r="Q184" s="71" t="s">
        <v>23</v>
      </c>
      <c r="R184" s="72" t="s">
        <v>133</v>
      </c>
      <c r="S184" s="73" t="s">
        <v>59</v>
      </c>
      <c r="T184" s="75">
        <f>T185+T186</f>
        <v>19965</v>
      </c>
      <c r="U184" s="75">
        <f t="shared" ref="U184:Y184" si="44">U185+U186</f>
        <v>5412.6</v>
      </c>
      <c r="V184" s="75">
        <f>V185+V187+V188</f>
        <v>52102.8</v>
      </c>
      <c r="W184" s="75">
        <f t="shared" si="44"/>
        <v>1900</v>
      </c>
      <c r="X184" s="75">
        <f t="shared" si="44"/>
        <v>2250</v>
      </c>
      <c r="Y184" s="75">
        <f t="shared" si="44"/>
        <v>2250</v>
      </c>
      <c r="Z184" s="75">
        <f>Z185+Z186+Z187+Z188</f>
        <v>83880.399999999994</v>
      </c>
      <c r="AA184" s="73">
        <v>2020</v>
      </c>
    </row>
    <row r="185" spans="1:32" ht="60" x14ac:dyDescent="0.25">
      <c r="A185" s="71" t="s">
        <v>23</v>
      </c>
      <c r="B185" s="71" t="s">
        <v>23</v>
      </c>
      <c r="C185" s="71" t="s">
        <v>30</v>
      </c>
      <c r="D185" s="71" t="s">
        <v>23</v>
      </c>
      <c r="E185" s="71" t="s">
        <v>33</v>
      </c>
      <c r="F185" s="71" t="s">
        <v>23</v>
      </c>
      <c r="G185" s="71" t="s">
        <v>32</v>
      </c>
      <c r="H185" s="71" t="s">
        <v>23</v>
      </c>
      <c r="I185" s="71" t="s">
        <v>31</v>
      </c>
      <c r="J185" s="71" t="s">
        <v>24</v>
      </c>
      <c r="K185" s="71" t="s">
        <v>23</v>
      </c>
      <c r="L185" s="71" t="s">
        <v>33</v>
      </c>
      <c r="M185" s="71" t="s">
        <v>23</v>
      </c>
      <c r="N185" s="71" t="s">
        <v>23</v>
      </c>
      <c r="O185" s="71" t="s">
        <v>23</v>
      </c>
      <c r="P185" s="71" t="s">
        <v>23</v>
      </c>
      <c r="Q185" s="71" t="s">
        <v>23</v>
      </c>
      <c r="R185" s="72" t="s">
        <v>133</v>
      </c>
      <c r="S185" s="73" t="s">
        <v>59</v>
      </c>
      <c r="T185" s="74">
        <f>6240+5854.1</f>
        <v>12094.1</v>
      </c>
      <c r="U185" s="74">
        <f>8000-1758-29.4-800</f>
        <v>5412.6</v>
      </c>
      <c r="V185" s="74">
        <v>1200</v>
      </c>
      <c r="W185" s="74">
        <v>1900</v>
      </c>
      <c r="X185" s="74">
        <v>2250</v>
      </c>
      <c r="Y185" s="74">
        <v>2250</v>
      </c>
      <c r="Z185" s="75">
        <f t="shared" si="28"/>
        <v>25106.7</v>
      </c>
      <c r="AA185" s="73">
        <v>2020</v>
      </c>
    </row>
    <row r="186" spans="1:32" ht="60" x14ac:dyDescent="0.25">
      <c r="A186" s="71" t="s">
        <v>23</v>
      </c>
      <c r="B186" s="71" t="s">
        <v>23</v>
      </c>
      <c r="C186" s="71" t="s">
        <v>30</v>
      </c>
      <c r="D186" s="71" t="s">
        <v>23</v>
      </c>
      <c r="E186" s="71" t="s">
        <v>33</v>
      </c>
      <c r="F186" s="71" t="s">
        <v>23</v>
      </c>
      <c r="G186" s="71" t="s">
        <v>32</v>
      </c>
      <c r="H186" s="71" t="s">
        <v>23</v>
      </c>
      <c r="I186" s="71" t="s">
        <v>31</v>
      </c>
      <c r="J186" s="71" t="s">
        <v>24</v>
      </c>
      <c r="K186" s="71" t="s">
        <v>39</v>
      </c>
      <c r="L186" s="71" t="s">
        <v>35</v>
      </c>
      <c r="M186" s="71" t="s">
        <v>24</v>
      </c>
      <c r="N186" s="71" t="s">
        <v>24</v>
      </c>
      <c r="O186" s="71"/>
      <c r="P186" s="71"/>
      <c r="Q186" s="71"/>
      <c r="R186" s="72" t="s">
        <v>133</v>
      </c>
      <c r="S186" s="73" t="s">
        <v>59</v>
      </c>
      <c r="T186" s="74">
        <v>7870.9</v>
      </c>
      <c r="U186" s="74"/>
      <c r="V186" s="74"/>
      <c r="W186" s="74"/>
      <c r="X186" s="74"/>
      <c r="Y186" s="74"/>
      <c r="Z186" s="75">
        <f t="shared" si="28"/>
        <v>7870.9</v>
      </c>
      <c r="AA186" s="73">
        <v>2015</v>
      </c>
    </row>
    <row r="187" spans="1:32" s="78" customFormat="1" ht="60" x14ac:dyDescent="0.25">
      <c r="A187" s="71" t="s">
        <v>23</v>
      </c>
      <c r="B187" s="71" t="s">
        <v>23</v>
      </c>
      <c r="C187" s="71" t="s">
        <v>30</v>
      </c>
      <c r="D187" s="71" t="s">
        <v>23</v>
      </c>
      <c r="E187" s="71" t="s">
        <v>33</v>
      </c>
      <c r="F187" s="71" t="s">
        <v>23</v>
      </c>
      <c r="G187" s="71" t="s">
        <v>32</v>
      </c>
      <c r="H187" s="71" t="s">
        <v>23</v>
      </c>
      <c r="I187" s="71" t="s">
        <v>31</v>
      </c>
      <c r="J187" s="71" t="s">
        <v>24</v>
      </c>
      <c r="K187" s="71" t="s">
        <v>23</v>
      </c>
      <c r="L187" s="71" t="s">
        <v>33</v>
      </c>
      <c r="M187" s="71" t="s">
        <v>180</v>
      </c>
      <c r="N187" s="71" t="s">
        <v>23</v>
      </c>
      <c r="O187" s="71" t="s">
        <v>25</v>
      </c>
      <c r="P187" s="71" t="s">
        <v>24</v>
      </c>
      <c r="Q187" s="71" t="s">
        <v>208</v>
      </c>
      <c r="R187" s="72" t="s">
        <v>133</v>
      </c>
      <c r="S187" s="73" t="s">
        <v>59</v>
      </c>
      <c r="T187" s="74"/>
      <c r="U187" s="74"/>
      <c r="V187" s="74">
        <v>14202</v>
      </c>
      <c r="W187" s="74"/>
      <c r="X187" s="74"/>
      <c r="Y187" s="74"/>
      <c r="Z187" s="75">
        <f>V187</f>
        <v>14202</v>
      </c>
      <c r="AA187" s="73">
        <v>2017</v>
      </c>
      <c r="AB187" s="94"/>
      <c r="AC187" s="94"/>
      <c r="AD187" s="94"/>
      <c r="AE187" s="95"/>
      <c r="AF187" s="95"/>
    </row>
    <row r="188" spans="1:32" s="78" customFormat="1" ht="60" x14ac:dyDescent="0.25">
      <c r="A188" s="71" t="s">
        <v>23</v>
      </c>
      <c r="B188" s="71" t="s">
        <v>23</v>
      </c>
      <c r="C188" s="71" t="s">
        <v>30</v>
      </c>
      <c r="D188" s="71" t="s">
        <v>23</v>
      </c>
      <c r="E188" s="71" t="s">
        <v>33</v>
      </c>
      <c r="F188" s="71" t="s">
        <v>23</v>
      </c>
      <c r="G188" s="71" t="s">
        <v>32</v>
      </c>
      <c r="H188" s="71" t="s">
        <v>23</v>
      </c>
      <c r="I188" s="71" t="s">
        <v>31</v>
      </c>
      <c r="J188" s="71" t="s">
        <v>24</v>
      </c>
      <c r="K188" s="71" t="s">
        <v>23</v>
      </c>
      <c r="L188" s="71" t="s">
        <v>33</v>
      </c>
      <c r="M188" s="71" t="s">
        <v>24</v>
      </c>
      <c r="N188" s="71" t="s">
        <v>23</v>
      </c>
      <c r="O188" s="71" t="s">
        <v>25</v>
      </c>
      <c r="P188" s="71" t="s">
        <v>24</v>
      </c>
      <c r="Q188" s="71" t="s">
        <v>211</v>
      </c>
      <c r="R188" s="72" t="s">
        <v>133</v>
      </c>
      <c r="S188" s="73" t="s">
        <v>59</v>
      </c>
      <c r="T188" s="74"/>
      <c r="U188" s="74"/>
      <c r="V188" s="74">
        <v>36700.800000000003</v>
      </c>
      <c r="W188" s="74"/>
      <c r="X188" s="74"/>
      <c r="Y188" s="74"/>
      <c r="Z188" s="75">
        <f>V188</f>
        <v>36700.800000000003</v>
      </c>
      <c r="AA188" s="73">
        <v>2017</v>
      </c>
      <c r="AB188" s="94"/>
      <c r="AC188" s="94"/>
      <c r="AD188" s="94"/>
      <c r="AE188" s="95"/>
      <c r="AF188" s="95"/>
    </row>
    <row r="189" spans="1:32" ht="60" x14ac:dyDescent="0.25">
      <c r="A189" s="41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17" t="s">
        <v>137</v>
      </c>
      <c r="S189" s="15" t="s">
        <v>60</v>
      </c>
      <c r="T189" s="8">
        <f>3.9+3.4</f>
        <v>7.3</v>
      </c>
      <c r="U189" s="8">
        <v>7.4</v>
      </c>
      <c r="V189" s="8">
        <v>33.799999999999997</v>
      </c>
      <c r="W189" s="8">
        <v>1</v>
      </c>
      <c r="X189" s="8">
        <v>3.4</v>
      </c>
      <c r="Y189" s="8">
        <v>3.4</v>
      </c>
      <c r="Z189" s="5">
        <f t="shared" si="28"/>
        <v>56.3</v>
      </c>
      <c r="AA189" s="15">
        <v>2020</v>
      </c>
    </row>
    <row r="190" spans="1:32" ht="60" x14ac:dyDescent="0.25">
      <c r="A190" s="71" t="s">
        <v>23</v>
      </c>
      <c r="B190" s="71" t="s">
        <v>23</v>
      </c>
      <c r="C190" s="71" t="s">
        <v>35</v>
      </c>
      <c r="D190" s="71" t="s">
        <v>23</v>
      </c>
      <c r="E190" s="71" t="s">
        <v>33</v>
      </c>
      <c r="F190" s="71" t="s">
        <v>23</v>
      </c>
      <c r="G190" s="71" t="s">
        <v>32</v>
      </c>
      <c r="H190" s="71" t="s">
        <v>23</v>
      </c>
      <c r="I190" s="71" t="s">
        <v>31</v>
      </c>
      <c r="J190" s="71" t="s">
        <v>24</v>
      </c>
      <c r="K190" s="71" t="s">
        <v>23</v>
      </c>
      <c r="L190" s="71" t="s">
        <v>23</v>
      </c>
      <c r="M190" s="71" t="s">
        <v>23</v>
      </c>
      <c r="N190" s="71" t="s">
        <v>23</v>
      </c>
      <c r="O190" s="71" t="s">
        <v>23</v>
      </c>
      <c r="P190" s="71" t="s">
        <v>23</v>
      </c>
      <c r="Q190" s="71" t="s">
        <v>23</v>
      </c>
      <c r="R190" s="72" t="s">
        <v>133</v>
      </c>
      <c r="S190" s="73" t="s">
        <v>59</v>
      </c>
      <c r="T190" s="75">
        <f>T191+T192</f>
        <v>22852.199999999997</v>
      </c>
      <c r="U190" s="75">
        <f t="shared" ref="U190:Y190" si="45">U191+U192</f>
        <v>5200.3</v>
      </c>
      <c r="V190" s="75">
        <f>V191+V192+V193+V194</f>
        <v>32144</v>
      </c>
      <c r="W190" s="75">
        <f t="shared" si="45"/>
        <v>1900</v>
      </c>
      <c r="X190" s="75">
        <f t="shared" si="45"/>
        <v>2250</v>
      </c>
      <c r="Y190" s="75">
        <f t="shared" si="45"/>
        <v>2250</v>
      </c>
      <c r="Z190" s="75">
        <f>Z191+Z192+Z193+Z194</f>
        <v>66596.5</v>
      </c>
      <c r="AA190" s="73">
        <v>2020</v>
      </c>
    </row>
    <row r="191" spans="1:32" s="1" customFormat="1" ht="60" x14ac:dyDescent="0.25">
      <c r="A191" s="71" t="s">
        <v>23</v>
      </c>
      <c r="B191" s="71" t="s">
        <v>23</v>
      </c>
      <c r="C191" s="71" t="s">
        <v>35</v>
      </c>
      <c r="D191" s="71" t="s">
        <v>23</v>
      </c>
      <c r="E191" s="71" t="s">
        <v>33</v>
      </c>
      <c r="F191" s="71" t="s">
        <v>23</v>
      </c>
      <c r="G191" s="71" t="s">
        <v>32</v>
      </c>
      <c r="H191" s="71" t="s">
        <v>23</v>
      </c>
      <c r="I191" s="71" t="s">
        <v>31</v>
      </c>
      <c r="J191" s="71" t="s">
        <v>24</v>
      </c>
      <c r="K191" s="71" t="s">
        <v>23</v>
      </c>
      <c r="L191" s="71" t="s">
        <v>33</v>
      </c>
      <c r="M191" s="71" t="s">
        <v>23</v>
      </c>
      <c r="N191" s="71" t="s">
        <v>23</v>
      </c>
      <c r="O191" s="71" t="s">
        <v>23</v>
      </c>
      <c r="P191" s="71" t="s">
        <v>23</v>
      </c>
      <c r="Q191" s="71" t="s">
        <v>23</v>
      </c>
      <c r="R191" s="72" t="s">
        <v>133</v>
      </c>
      <c r="S191" s="73" t="s">
        <v>59</v>
      </c>
      <c r="T191" s="74">
        <f>2580.4+9582.8+1918.3</f>
        <v>14081.499999999998</v>
      </c>
      <c r="U191" s="74">
        <f>8000-1614-28.9-1156.8</f>
        <v>5200.3</v>
      </c>
      <c r="V191" s="74">
        <v>1450.1</v>
      </c>
      <c r="W191" s="74">
        <v>1900</v>
      </c>
      <c r="X191" s="74">
        <v>2250</v>
      </c>
      <c r="Y191" s="74">
        <v>2250</v>
      </c>
      <c r="Z191" s="75">
        <f t="shared" si="28"/>
        <v>27131.899999999998</v>
      </c>
      <c r="AA191" s="73">
        <v>2020</v>
      </c>
      <c r="AB191" s="47"/>
      <c r="AC191" s="48"/>
      <c r="AD191" s="48"/>
    </row>
    <row r="192" spans="1:32" s="1" customFormat="1" ht="60" x14ac:dyDescent="0.25">
      <c r="A192" s="71" t="s">
        <v>23</v>
      </c>
      <c r="B192" s="71" t="s">
        <v>23</v>
      </c>
      <c r="C192" s="71" t="s">
        <v>35</v>
      </c>
      <c r="D192" s="71" t="s">
        <v>23</v>
      </c>
      <c r="E192" s="71" t="s">
        <v>33</v>
      </c>
      <c r="F192" s="71" t="s">
        <v>23</v>
      </c>
      <c r="G192" s="71" t="s">
        <v>32</v>
      </c>
      <c r="H192" s="71" t="s">
        <v>23</v>
      </c>
      <c r="I192" s="71" t="s">
        <v>31</v>
      </c>
      <c r="J192" s="71" t="s">
        <v>24</v>
      </c>
      <c r="K192" s="71" t="s">
        <v>39</v>
      </c>
      <c r="L192" s="71" t="s">
        <v>35</v>
      </c>
      <c r="M192" s="71" t="s">
        <v>24</v>
      </c>
      <c r="N192" s="71" t="s">
        <v>24</v>
      </c>
      <c r="O192" s="71"/>
      <c r="P192" s="71"/>
      <c r="Q192" s="71"/>
      <c r="R192" s="72" t="s">
        <v>133</v>
      </c>
      <c r="S192" s="73" t="s">
        <v>59</v>
      </c>
      <c r="T192" s="74">
        <v>8770.7000000000007</v>
      </c>
      <c r="U192" s="74"/>
      <c r="V192" s="74"/>
      <c r="W192" s="74"/>
      <c r="X192" s="74"/>
      <c r="Y192" s="74"/>
      <c r="Z192" s="75">
        <f t="shared" si="28"/>
        <v>8770.7000000000007</v>
      </c>
      <c r="AA192" s="73">
        <v>2015</v>
      </c>
      <c r="AB192" s="47"/>
      <c r="AC192" s="48"/>
      <c r="AD192" s="48"/>
    </row>
    <row r="193" spans="1:32" s="1" customFormat="1" ht="60" x14ac:dyDescent="0.25">
      <c r="A193" s="71" t="s">
        <v>23</v>
      </c>
      <c r="B193" s="71" t="s">
        <v>23</v>
      </c>
      <c r="C193" s="71" t="s">
        <v>35</v>
      </c>
      <c r="D193" s="71" t="s">
        <v>23</v>
      </c>
      <c r="E193" s="71" t="s">
        <v>33</v>
      </c>
      <c r="F193" s="71" t="s">
        <v>23</v>
      </c>
      <c r="G193" s="71" t="s">
        <v>32</v>
      </c>
      <c r="H193" s="71" t="s">
        <v>23</v>
      </c>
      <c r="I193" s="71" t="s">
        <v>31</v>
      </c>
      <c r="J193" s="71" t="s">
        <v>24</v>
      </c>
      <c r="K193" s="71" t="s">
        <v>23</v>
      </c>
      <c r="L193" s="71" t="s">
        <v>33</v>
      </c>
      <c r="M193" s="71" t="s">
        <v>180</v>
      </c>
      <c r="N193" s="71" t="s">
        <v>23</v>
      </c>
      <c r="O193" s="71" t="s">
        <v>25</v>
      </c>
      <c r="P193" s="71" t="s">
        <v>24</v>
      </c>
      <c r="Q193" s="71" t="s">
        <v>208</v>
      </c>
      <c r="R193" s="72" t="s">
        <v>133</v>
      </c>
      <c r="S193" s="73" t="s">
        <v>59</v>
      </c>
      <c r="T193" s="74"/>
      <c r="U193" s="74"/>
      <c r="V193" s="74">
        <v>8564</v>
      </c>
      <c r="W193" s="74"/>
      <c r="X193" s="74"/>
      <c r="Y193" s="74"/>
      <c r="Z193" s="75">
        <f>V193</f>
        <v>8564</v>
      </c>
      <c r="AA193" s="73">
        <v>2017</v>
      </c>
      <c r="AB193" s="94"/>
      <c r="AC193" s="48"/>
      <c r="AD193" s="48"/>
    </row>
    <row r="194" spans="1:32" s="1" customFormat="1" ht="60" x14ac:dyDescent="0.25">
      <c r="A194" s="71" t="s">
        <v>23</v>
      </c>
      <c r="B194" s="71" t="s">
        <v>23</v>
      </c>
      <c r="C194" s="71" t="s">
        <v>35</v>
      </c>
      <c r="D194" s="71" t="s">
        <v>23</v>
      </c>
      <c r="E194" s="71" t="s">
        <v>33</v>
      </c>
      <c r="F194" s="71" t="s">
        <v>23</v>
      </c>
      <c r="G194" s="71" t="s">
        <v>32</v>
      </c>
      <c r="H194" s="71" t="s">
        <v>23</v>
      </c>
      <c r="I194" s="71" t="s">
        <v>31</v>
      </c>
      <c r="J194" s="71" t="s">
        <v>24</v>
      </c>
      <c r="K194" s="71" t="s">
        <v>23</v>
      </c>
      <c r="L194" s="71" t="s">
        <v>33</v>
      </c>
      <c r="M194" s="71" t="s">
        <v>180</v>
      </c>
      <c r="N194" s="71" t="s">
        <v>23</v>
      </c>
      <c r="O194" s="71" t="s">
        <v>25</v>
      </c>
      <c r="P194" s="71" t="s">
        <v>24</v>
      </c>
      <c r="Q194" s="71" t="s">
        <v>208</v>
      </c>
      <c r="R194" s="72" t="s">
        <v>133</v>
      </c>
      <c r="S194" s="73" t="s">
        <v>59</v>
      </c>
      <c r="T194" s="74"/>
      <c r="U194" s="74"/>
      <c r="V194" s="74">
        <v>22129.9</v>
      </c>
      <c r="W194" s="74"/>
      <c r="X194" s="74"/>
      <c r="Y194" s="74"/>
      <c r="Z194" s="75">
        <f>V194</f>
        <v>22129.9</v>
      </c>
      <c r="AA194" s="73">
        <v>2017</v>
      </c>
      <c r="AB194" s="94"/>
      <c r="AC194" s="48"/>
      <c r="AD194" s="48"/>
    </row>
    <row r="195" spans="1:32" ht="60" x14ac:dyDescent="0.25">
      <c r="A195" s="41"/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17" t="s">
        <v>138</v>
      </c>
      <c r="S195" s="15" t="s">
        <v>60</v>
      </c>
      <c r="T195" s="8">
        <v>17.8</v>
      </c>
      <c r="U195" s="8">
        <v>5.6</v>
      </c>
      <c r="V195" s="8">
        <v>20.6</v>
      </c>
      <c r="W195" s="8">
        <v>1</v>
      </c>
      <c r="X195" s="8">
        <v>1.8</v>
      </c>
      <c r="Y195" s="8">
        <v>1.8</v>
      </c>
      <c r="Z195" s="5">
        <f t="shared" si="28"/>
        <v>48.599999999999994</v>
      </c>
      <c r="AA195" s="15">
        <v>2020</v>
      </c>
    </row>
    <row r="196" spans="1:32" ht="60" x14ac:dyDescent="0.25">
      <c r="A196" s="71"/>
      <c r="B196" s="71"/>
      <c r="C196" s="71"/>
      <c r="D196" s="71"/>
      <c r="E196" s="71"/>
      <c r="F196" s="71"/>
      <c r="G196" s="71"/>
      <c r="H196" s="71"/>
      <c r="I196" s="71"/>
      <c r="J196" s="71"/>
      <c r="K196" s="71"/>
      <c r="L196" s="71"/>
      <c r="M196" s="71"/>
      <c r="N196" s="71"/>
      <c r="O196" s="71"/>
      <c r="P196" s="71"/>
      <c r="Q196" s="71"/>
      <c r="R196" s="72" t="s">
        <v>48</v>
      </c>
      <c r="S196" s="73" t="s">
        <v>45</v>
      </c>
      <c r="T196" s="77">
        <v>1</v>
      </c>
      <c r="U196" s="77">
        <v>1</v>
      </c>
      <c r="V196" s="77">
        <v>1</v>
      </c>
      <c r="W196" s="77">
        <v>1</v>
      </c>
      <c r="X196" s="77">
        <v>1</v>
      </c>
      <c r="Y196" s="77">
        <v>1</v>
      </c>
      <c r="Z196" s="77">
        <v>1</v>
      </c>
      <c r="AA196" s="73">
        <v>2020</v>
      </c>
    </row>
    <row r="197" spans="1:32" s="65" customFormat="1" ht="30" x14ac:dyDescent="0.25">
      <c r="A197" s="41"/>
      <c r="B197" s="41"/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17" t="s">
        <v>49</v>
      </c>
      <c r="S197" s="15" t="s">
        <v>55</v>
      </c>
      <c r="T197" s="21">
        <f>15+12+42+10</f>
        <v>79</v>
      </c>
      <c r="U197" s="21">
        <f>11+15+84+21</f>
        <v>131</v>
      </c>
      <c r="V197" s="21">
        <f>55+15+30+70</f>
        <v>170</v>
      </c>
      <c r="W197" s="21">
        <v>40</v>
      </c>
      <c r="X197" s="21">
        <v>11</v>
      </c>
      <c r="Y197" s="21">
        <v>11</v>
      </c>
      <c r="Z197" s="6">
        <f t="shared" si="28"/>
        <v>442</v>
      </c>
      <c r="AA197" s="15">
        <v>2020</v>
      </c>
      <c r="AB197" s="42"/>
      <c r="AC197" s="42"/>
      <c r="AD197" s="42"/>
      <c r="AE197" s="43"/>
      <c r="AF197" s="43"/>
    </row>
    <row r="198" spans="1:32" s="65" customFormat="1" ht="45" x14ac:dyDescent="0.25">
      <c r="A198" s="71" t="s">
        <v>23</v>
      </c>
      <c r="B198" s="71" t="s">
        <v>23</v>
      </c>
      <c r="C198" s="71" t="s">
        <v>30</v>
      </c>
      <c r="D198" s="71" t="s">
        <v>23</v>
      </c>
      <c r="E198" s="71" t="s">
        <v>33</v>
      </c>
      <c r="F198" s="71" t="s">
        <v>23</v>
      </c>
      <c r="G198" s="71" t="s">
        <v>32</v>
      </c>
      <c r="H198" s="71" t="s">
        <v>23</v>
      </c>
      <c r="I198" s="71" t="s">
        <v>31</v>
      </c>
      <c r="J198" s="71" t="s">
        <v>24</v>
      </c>
      <c r="K198" s="71" t="s">
        <v>23</v>
      </c>
      <c r="L198" s="71" t="s">
        <v>23</v>
      </c>
      <c r="M198" s="71" t="s">
        <v>23</v>
      </c>
      <c r="N198" s="71" t="s">
        <v>23</v>
      </c>
      <c r="O198" s="71" t="s">
        <v>23</v>
      </c>
      <c r="P198" s="71" t="s">
        <v>23</v>
      </c>
      <c r="Q198" s="71" t="s">
        <v>23</v>
      </c>
      <c r="R198" s="72" t="s">
        <v>182</v>
      </c>
      <c r="S198" s="73" t="s">
        <v>59</v>
      </c>
      <c r="T198" s="77"/>
      <c r="U198" s="75">
        <f>U199+U200</f>
        <v>981</v>
      </c>
      <c r="V198" s="81"/>
      <c r="W198" s="81"/>
      <c r="X198" s="81"/>
      <c r="Y198" s="81"/>
      <c r="Z198" s="75">
        <f t="shared" ref="Z198:Z209" si="46">U198</f>
        <v>981</v>
      </c>
      <c r="AA198" s="73">
        <v>2016</v>
      </c>
      <c r="AB198" s="42"/>
      <c r="AC198" s="42"/>
      <c r="AD198" s="42"/>
      <c r="AE198" s="43"/>
      <c r="AF198" s="43"/>
    </row>
    <row r="199" spans="1:32" s="65" customFormat="1" ht="45" x14ac:dyDescent="0.25">
      <c r="A199" s="71" t="s">
        <v>23</v>
      </c>
      <c r="B199" s="71" t="s">
        <v>23</v>
      </c>
      <c r="C199" s="71" t="s">
        <v>30</v>
      </c>
      <c r="D199" s="71" t="s">
        <v>23</v>
      </c>
      <c r="E199" s="71" t="s">
        <v>33</v>
      </c>
      <c r="F199" s="71" t="s">
        <v>23</v>
      </c>
      <c r="G199" s="71" t="s">
        <v>32</v>
      </c>
      <c r="H199" s="71" t="s">
        <v>23</v>
      </c>
      <c r="I199" s="71" t="s">
        <v>31</v>
      </c>
      <c r="J199" s="71" t="s">
        <v>24</v>
      </c>
      <c r="K199" s="71" t="s">
        <v>23</v>
      </c>
      <c r="L199" s="71" t="s">
        <v>33</v>
      </c>
      <c r="M199" s="71" t="s">
        <v>180</v>
      </c>
      <c r="N199" s="71" t="s">
        <v>23</v>
      </c>
      <c r="O199" s="71" t="s">
        <v>33</v>
      </c>
      <c r="P199" s="71" t="s">
        <v>34</v>
      </c>
      <c r="Q199" s="71" t="s">
        <v>181</v>
      </c>
      <c r="R199" s="72" t="s">
        <v>182</v>
      </c>
      <c r="S199" s="73" t="s">
        <v>59</v>
      </c>
      <c r="T199" s="77"/>
      <c r="U199" s="74">
        <f>321+232+52-24</f>
        <v>581</v>
      </c>
      <c r="V199" s="77"/>
      <c r="W199" s="77"/>
      <c r="X199" s="77"/>
      <c r="Y199" s="77"/>
      <c r="Z199" s="75">
        <f t="shared" si="46"/>
        <v>581</v>
      </c>
      <c r="AA199" s="73">
        <v>2016</v>
      </c>
      <c r="AB199" s="48"/>
      <c r="AC199" s="42"/>
      <c r="AD199" s="42"/>
      <c r="AE199" s="43"/>
      <c r="AF199" s="43"/>
    </row>
    <row r="200" spans="1:32" s="65" customFormat="1" ht="45" x14ac:dyDescent="0.25">
      <c r="A200" s="71" t="s">
        <v>23</v>
      </c>
      <c r="B200" s="71" t="s">
        <v>23</v>
      </c>
      <c r="C200" s="71" t="s">
        <v>30</v>
      </c>
      <c r="D200" s="71" t="s">
        <v>23</v>
      </c>
      <c r="E200" s="71" t="s">
        <v>33</v>
      </c>
      <c r="F200" s="71" t="s">
        <v>23</v>
      </c>
      <c r="G200" s="71" t="s">
        <v>32</v>
      </c>
      <c r="H200" s="71" t="s">
        <v>23</v>
      </c>
      <c r="I200" s="71" t="s">
        <v>31</v>
      </c>
      <c r="J200" s="71" t="s">
        <v>24</v>
      </c>
      <c r="K200" s="71" t="s">
        <v>23</v>
      </c>
      <c r="L200" s="71" t="s">
        <v>33</v>
      </c>
      <c r="M200" s="71" t="s">
        <v>24</v>
      </c>
      <c r="N200" s="71" t="s">
        <v>23</v>
      </c>
      <c r="O200" s="71" t="s">
        <v>33</v>
      </c>
      <c r="P200" s="71" t="s">
        <v>34</v>
      </c>
      <c r="Q200" s="71" t="s">
        <v>181</v>
      </c>
      <c r="R200" s="72" t="s">
        <v>182</v>
      </c>
      <c r="S200" s="73" t="s">
        <v>59</v>
      </c>
      <c r="T200" s="77"/>
      <c r="U200" s="74">
        <v>400</v>
      </c>
      <c r="V200" s="77"/>
      <c r="W200" s="77"/>
      <c r="X200" s="77"/>
      <c r="Y200" s="77"/>
      <c r="Z200" s="75">
        <f t="shared" si="46"/>
        <v>400</v>
      </c>
      <c r="AA200" s="73">
        <v>2016</v>
      </c>
      <c r="AB200" s="42"/>
      <c r="AC200" s="42"/>
      <c r="AD200" s="42"/>
      <c r="AE200" s="43"/>
      <c r="AF200" s="43"/>
    </row>
    <row r="201" spans="1:32" s="65" customFormat="1" ht="30" x14ac:dyDescent="0.25">
      <c r="A201" s="41"/>
      <c r="B201" s="41"/>
      <c r="C201" s="41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17" t="s">
        <v>183</v>
      </c>
      <c r="S201" s="15" t="s">
        <v>60</v>
      </c>
      <c r="T201" s="21"/>
      <c r="U201" s="8">
        <v>1.6</v>
      </c>
      <c r="V201" s="8"/>
      <c r="W201" s="8"/>
      <c r="X201" s="8"/>
      <c r="Y201" s="8"/>
      <c r="Z201" s="5">
        <f t="shared" si="46"/>
        <v>1.6</v>
      </c>
      <c r="AA201" s="15">
        <v>2016</v>
      </c>
      <c r="AB201" s="42"/>
      <c r="AC201" s="42"/>
      <c r="AD201" s="42"/>
      <c r="AE201" s="43"/>
      <c r="AF201" s="43"/>
    </row>
    <row r="202" spans="1:32" s="65" customFormat="1" ht="45" x14ac:dyDescent="0.25">
      <c r="A202" s="71" t="s">
        <v>23</v>
      </c>
      <c r="B202" s="71" t="s">
        <v>23</v>
      </c>
      <c r="C202" s="71" t="s">
        <v>30</v>
      </c>
      <c r="D202" s="71" t="s">
        <v>23</v>
      </c>
      <c r="E202" s="71" t="s">
        <v>33</v>
      </c>
      <c r="F202" s="71" t="s">
        <v>23</v>
      </c>
      <c r="G202" s="71" t="s">
        <v>32</v>
      </c>
      <c r="H202" s="71" t="s">
        <v>23</v>
      </c>
      <c r="I202" s="71" t="s">
        <v>31</v>
      </c>
      <c r="J202" s="71" t="s">
        <v>24</v>
      </c>
      <c r="K202" s="71" t="s">
        <v>23</v>
      </c>
      <c r="L202" s="71" t="s">
        <v>23</v>
      </c>
      <c r="M202" s="71" t="s">
        <v>23</v>
      </c>
      <c r="N202" s="71" t="s">
        <v>23</v>
      </c>
      <c r="O202" s="71" t="s">
        <v>23</v>
      </c>
      <c r="P202" s="71" t="s">
        <v>23</v>
      </c>
      <c r="Q202" s="71" t="s">
        <v>23</v>
      </c>
      <c r="R202" s="72" t="s">
        <v>184</v>
      </c>
      <c r="S202" s="73" t="s">
        <v>59</v>
      </c>
      <c r="T202" s="77"/>
      <c r="U202" s="75">
        <f>U203+U204</f>
        <v>207</v>
      </c>
      <c r="V202" s="81"/>
      <c r="W202" s="81"/>
      <c r="X202" s="81"/>
      <c r="Y202" s="81"/>
      <c r="Z202" s="75">
        <f t="shared" si="46"/>
        <v>207</v>
      </c>
      <c r="AA202" s="73">
        <v>2016</v>
      </c>
      <c r="AB202" s="42"/>
      <c r="AC202" s="42"/>
      <c r="AD202" s="42"/>
      <c r="AE202" s="43"/>
      <c r="AF202" s="43"/>
    </row>
    <row r="203" spans="1:32" s="65" customFormat="1" ht="45" x14ac:dyDescent="0.25">
      <c r="A203" s="71" t="s">
        <v>23</v>
      </c>
      <c r="B203" s="71" t="s">
        <v>23</v>
      </c>
      <c r="C203" s="71" t="s">
        <v>30</v>
      </c>
      <c r="D203" s="71" t="s">
        <v>23</v>
      </c>
      <c r="E203" s="71" t="s">
        <v>33</v>
      </c>
      <c r="F203" s="71" t="s">
        <v>23</v>
      </c>
      <c r="G203" s="71" t="s">
        <v>32</v>
      </c>
      <c r="H203" s="71" t="s">
        <v>23</v>
      </c>
      <c r="I203" s="71" t="s">
        <v>31</v>
      </c>
      <c r="J203" s="71" t="s">
        <v>24</v>
      </c>
      <c r="K203" s="71" t="s">
        <v>23</v>
      </c>
      <c r="L203" s="71" t="s">
        <v>33</v>
      </c>
      <c r="M203" s="71" t="s">
        <v>180</v>
      </c>
      <c r="N203" s="71" t="s">
        <v>23</v>
      </c>
      <c r="O203" s="71" t="s">
        <v>33</v>
      </c>
      <c r="P203" s="71" t="s">
        <v>34</v>
      </c>
      <c r="Q203" s="71" t="s">
        <v>181</v>
      </c>
      <c r="R203" s="72" t="s">
        <v>184</v>
      </c>
      <c r="S203" s="73" t="s">
        <v>59</v>
      </c>
      <c r="T203" s="77"/>
      <c r="U203" s="74">
        <f>65.6+41.4+17.2</f>
        <v>124.2</v>
      </c>
      <c r="V203" s="77"/>
      <c r="W203" s="77"/>
      <c r="X203" s="77"/>
      <c r="Y203" s="77"/>
      <c r="Z203" s="75">
        <f t="shared" si="46"/>
        <v>124.2</v>
      </c>
      <c r="AA203" s="73">
        <v>2016</v>
      </c>
      <c r="AB203" s="42"/>
      <c r="AC203" s="42"/>
      <c r="AD203" s="42"/>
      <c r="AE203" s="43"/>
      <c r="AF203" s="43"/>
    </row>
    <row r="204" spans="1:32" s="65" customFormat="1" ht="45" x14ac:dyDescent="0.25">
      <c r="A204" s="71" t="s">
        <v>23</v>
      </c>
      <c r="B204" s="71" t="s">
        <v>23</v>
      </c>
      <c r="C204" s="71" t="s">
        <v>30</v>
      </c>
      <c r="D204" s="71" t="s">
        <v>23</v>
      </c>
      <c r="E204" s="71" t="s">
        <v>33</v>
      </c>
      <c r="F204" s="71" t="s">
        <v>23</v>
      </c>
      <c r="G204" s="71" t="s">
        <v>32</v>
      </c>
      <c r="H204" s="71" t="s">
        <v>23</v>
      </c>
      <c r="I204" s="71" t="s">
        <v>31</v>
      </c>
      <c r="J204" s="71" t="s">
        <v>24</v>
      </c>
      <c r="K204" s="71" t="s">
        <v>23</v>
      </c>
      <c r="L204" s="71" t="s">
        <v>33</v>
      </c>
      <c r="M204" s="71" t="s">
        <v>24</v>
      </c>
      <c r="N204" s="71" t="s">
        <v>23</v>
      </c>
      <c r="O204" s="71" t="s">
        <v>33</v>
      </c>
      <c r="P204" s="71" t="s">
        <v>34</v>
      </c>
      <c r="Q204" s="71" t="s">
        <v>181</v>
      </c>
      <c r="R204" s="72" t="s">
        <v>184</v>
      </c>
      <c r="S204" s="73" t="s">
        <v>59</v>
      </c>
      <c r="T204" s="77"/>
      <c r="U204" s="74">
        <v>82.8</v>
      </c>
      <c r="V204" s="77"/>
      <c r="W204" s="77"/>
      <c r="X204" s="77"/>
      <c r="Y204" s="77"/>
      <c r="Z204" s="75">
        <f t="shared" si="46"/>
        <v>82.8</v>
      </c>
      <c r="AA204" s="73">
        <v>2016</v>
      </c>
      <c r="AB204" s="42"/>
      <c r="AC204" s="42"/>
      <c r="AD204" s="42"/>
      <c r="AE204" s="43"/>
      <c r="AF204" s="43"/>
    </row>
    <row r="205" spans="1:32" s="65" customFormat="1" ht="30" x14ac:dyDescent="0.25">
      <c r="A205" s="41"/>
      <c r="B205" s="41"/>
      <c r="C205" s="41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17" t="s">
        <v>185</v>
      </c>
      <c r="S205" s="15" t="s">
        <v>21</v>
      </c>
      <c r="T205" s="21"/>
      <c r="U205" s="8">
        <v>92</v>
      </c>
      <c r="V205" s="8"/>
      <c r="W205" s="8"/>
      <c r="X205" s="8"/>
      <c r="Y205" s="8"/>
      <c r="Z205" s="5">
        <f t="shared" si="46"/>
        <v>92</v>
      </c>
      <c r="AA205" s="15">
        <v>2016</v>
      </c>
      <c r="AB205" s="42"/>
      <c r="AC205" s="42"/>
      <c r="AD205" s="42"/>
      <c r="AE205" s="43"/>
      <c r="AF205" s="43"/>
    </row>
    <row r="206" spans="1:32" s="65" customFormat="1" ht="45" x14ac:dyDescent="0.25">
      <c r="A206" s="71" t="s">
        <v>23</v>
      </c>
      <c r="B206" s="71" t="s">
        <v>23</v>
      </c>
      <c r="C206" s="71" t="s">
        <v>35</v>
      </c>
      <c r="D206" s="71" t="s">
        <v>23</v>
      </c>
      <c r="E206" s="71" t="s">
        <v>33</v>
      </c>
      <c r="F206" s="71" t="s">
        <v>23</v>
      </c>
      <c r="G206" s="71" t="s">
        <v>32</v>
      </c>
      <c r="H206" s="71" t="s">
        <v>23</v>
      </c>
      <c r="I206" s="71" t="s">
        <v>31</v>
      </c>
      <c r="J206" s="71" t="s">
        <v>24</v>
      </c>
      <c r="K206" s="71" t="s">
        <v>23</v>
      </c>
      <c r="L206" s="71" t="s">
        <v>23</v>
      </c>
      <c r="M206" s="71" t="s">
        <v>23</v>
      </c>
      <c r="N206" s="71" t="s">
        <v>23</v>
      </c>
      <c r="O206" s="71" t="s">
        <v>23</v>
      </c>
      <c r="P206" s="71" t="s">
        <v>23</v>
      </c>
      <c r="Q206" s="71" t="s">
        <v>23</v>
      </c>
      <c r="R206" s="72" t="s">
        <v>186</v>
      </c>
      <c r="S206" s="73" t="s">
        <v>59</v>
      </c>
      <c r="T206" s="77"/>
      <c r="U206" s="75">
        <f>U207+U208</f>
        <v>1286.2</v>
      </c>
      <c r="V206" s="81"/>
      <c r="W206" s="81"/>
      <c r="X206" s="81"/>
      <c r="Y206" s="81"/>
      <c r="Z206" s="75">
        <f t="shared" si="46"/>
        <v>1286.2</v>
      </c>
      <c r="AA206" s="73">
        <v>2016</v>
      </c>
      <c r="AB206" s="42"/>
      <c r="AC206" s="42"/>
      <c r="AD206" s="42"/>
      <c r="AE206" s="43"/>
      <c r="AF206" s="43"/>
    </row>
    <row r="207" spans="1:32" s="65" customFormat="1" ht="45" x14ac:dyDescent="0.25">
      <c r="A207" s="71" t="s">
        <v>23</v>
      </c>
      <c r="B207" s="71" t="s">
        <v>23</v>
      </c>
      <c r="C207" s="71" t="s">
        <v>35</v>
      </c>
      <c r="D207" s="71" t="s">
        <v>23</v>
      </c>
      <c r="E207" s="71" t="s">
        <v>33</v>
      </c>
      <c r="F207" s="71" t="s">
        <v>23</v>
      </c>
      <c r="G207" s="71" t="s">
        <v>32</v>
      </c>
      <c r="H207" s="71" t="s">
        <v>23</v>
      </c>
      <c r="I207" s="71" t="s">
        <v>31</v>
      </c>
      <c r="J207" s="71" t="s">
        <v>24</v>
      </c>
      <c r="K207" s="71" t="s">
        <v>23</v>
      </c>
      <c r="L207" s="71" t="s">
        <v>33</v>
      </c>
      <c r="M207" s="71" t="s">
        <v>180</v>
      </c>
      <c r="N207" s="71" t="s">
        <v>23</v>
      </c>
      <c r="O207" s="71" t="s">
        <v>33</v>
      </c>
      <c r="P207" s="71" t="s">
        <v>34</v>
      </c>
      <c r="Q207" s="71" t="s">
        <v>181</v>
      </c>
      <c r="R207" s="72" t="s">
        <v>186</v>
      </c>
      <c r="S207" s="73" t="s">
        <v>59</v>
      </c>
      <c r="T207" s="77"/>
      <c r="U207" s="74">
        <f>400+476.2+10</f>
        <v>886.2</v>
      </c>
      <c r="V207" s="77"/>
      <c r="W207" s="77"/>
      <c r="X207" s="77"/>
      <c r="Y207" s="77"/>
      <c r="Z207" s="75">
        <f t="shared" si="46"/>
        <v>886.2</v>
      </c>
      <c r="AA207" s="73">
        <v>2016</v>
      </c>
      <c r="AB207" s="42"/>
      <c r="AC207" s="42"/>
      <c r="AD207" s="42"/>
      <c r="AE207" s="43"/>
      <c r="AF207" s="43"/>
    </row>
    <row r="208" spans="1:32" s="65" customFormat="1" ht="45" x14ac:dyDescent="0.25">
      <c r="A208" s="71" t="s">
        <v>23</v>
      </c>
      <c r="B208" s="71" t="s">
        <v>23</v>
      </c>
      <c r="C208" s="71" t="s">
        <v>35</v>
      </c>
      <c r="D208" s="71" t="s">
        <v>23</v>
      </c>
      <c r="E208" s="71" t="s">
        <v>33</v>
      </c>
      <c r="F208" s="71" t="s">
        <v>23</v>
      </c>
      <c r="G208" s="71" t="s">
        <v>32</v>
      </c>
      <c r="H208" s="71" t="s">
        <v>23</v>
      </c>
      <c r="I208" s="71" t="s">
        <v>31</v>
      </c>
      <c r="J208" s="71" t="s">
        <v>24</v>
      </c>
      <c r="K208" s="71" t="s">
        <v>23</v>
      </c>
      <c r="L208" s="71" t="s">
        <v>33</v>
      </c>
      <c r="M208" s="71" t="s">
        <v>24</v>
      </c>
      <c r="N208" s="71" t="s">
        <v>23</v>
      </c>
      <c r="O208" s="71" t="s">
        <v>33</v>
      </c>
      <c r="P208" s="71" t="s">
        <v>34</v>
      </c>
      <c r="Q208" s="71" t="s">
        <v>181</v>
      </c>
      <c r="R208" s="72" t="s">
        <v>186</v>
      </c>
      <c r="S208" s="73" t="s">
        <v>59</v>
      </c>
      <c r="T208" s="77" t="s">
        <v>189</v>
      </c>
      <c r="U208" s="74">
        <v>400</v>
      </c>
      <c r="V208" s="77"/>
      <c r="W208" s="77"/>
      <c r="X208" s="77"/>
      <c r="Y208" s="77"/>
      <c r="Z208" s="75">
        <f t="shared" si="46"/>
        <v>400</v>
      </c>
      <c r="AA208" s="73">
        <v>2016</v>
      </c>
      <c r="AB208" s="42"/>
      <c r="AC208" s="42"/>
      <c r="AD208" s="42"/>
      <c r="AE208" s="43"/>
      <c r="AF208" s="43"/>
    </row>
    <row r="209" spans="1:32" s="65" customFormat="1" ht="30" x14ac:dyDescent="0.25">
      <c r="A209" s="41"/>
      <c r="B209" s="41"/>
      <c r="C209" s="41"/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17" t="s">
        <v>188</v>
      </c>
      <c r="S209" s="15" t="s">
        <v>187</v>
      </c>
      <c r="T209" s="21"/>
      <c r="U209" s="8">
        <v>873.3</v>
      </c>
      <c r="V209" s="8"/>
      <c r="W209" s="8"/>
      <c r="X209" s="8"/>
      <c r="Y209" s="8"/>
      <c r="Z209" s="5">
        <f t="shared" si="46"/>
        <v>873.3</v>
      </c>
      <c r="AA209" s="15">
        <v>2016</v>
      </c>
      <c r="AB209" s="42"/>
      <c r="AC209" s="42"/>
      <c r="AD209" s="42"/>
      <c r="AE209" s="43"/>
      <c r="AF209" s="43"/>
    </row>
    <row r="210" spans="1:32" s="65" customFormat="1" ht="30" hidden="1" x14ac:dyDescent="0.25">
      <c r="A210" s="71" t="s">
        <v>23</v>
      </c>
      <c r="B210" s="71" t="s">
        <v>24</v>
      </c>
      <c r="C210" s="71" t="s">
        <v>25</v>
      </c>
      <c r="D210" s="71" t="s">
        <v>23</v>
      </c>
      <c r="E210" s="71" t="s">
        <v>33</v>
      </c>
      <c r="F210" s="71" t="s">
        <v>23</v>
      </c>
      <c r="G210" s="71" t="s">
        <v>32</v>
      </c>
      <c r="H210" s="71" t="s">
        <v>23</v>
      </c>
      <c r="I210" s="71" t="s">
        <v>31</v>
      </c>
      <c r="J210" s="71" t="s">
        <v>24</v>
      </c>
      <c r="K210" s="71" t="s">
        <v>23</v>
      </c>
      <c r="L210" s="71" t="s">
        <v>33</v>
      </c>
      <c r="M210" s="71" t="s">
        <v>180</v>
      </c>
      <c r="N210" s="71" t="s">
        <v>23</v>
      </c>
      <c r="O210" s="71" t="s">
        <v>33</v>
      </c>
      <c r="P210" s="71" t="s">
        <v>34</v>
      </c>
      <c r="Q210" s="71" t="s">
        <v>208</v>
      </c>
      <c r="R210" s="105" t="s">
        <v>236</v>
      </c>
      <c r="S210" s="73" t="s">
        <v>59</v>
      </c>
      <c r="T210" s="74"/>
      <c r="U210" s="74"/>
      <c r="V210" s="75"/>
      <c r="W210" s="74"/>
      <c r="X210" s="74"/>
      <c r="Y210" s="74"/>
      <c r="Z210" s="75"/>
      <c r="AA210" s="73"/>
      <c r="AB210" s="48"/>
      <c r="AC210" s="42"/>
      <c r="AD210" s="42"/>
      <c r="AE210" s="43"/>
      <c r="AF210" s="43"/>
    </row>
    <row r="211" spans="1:32" s="65" customFormat="1" ht="60" hidden="1" x14ac:dyDescent="0.25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106" t="s">
        <v>237</v>
      </c>
      <c r="S211" s="15" t="s">
        <v>60</v>
      </c>
      <c r="T211" s="8"/>
      <c r="U211" s="8"/>
      <c r="V211" s="8"/>
      <c r="W211" s="8"/>
      <c r="X211" s="8"/>
      <c r="Y211" s="8"/>
      <c r="Z211" s="5"/>
      <c r="AA211" s="15"/>
      <c r="AB211" s="48"/>
      <c r="AC211" s="42"/>
      <c r="AD211" s="42"/>
      <c r="AE211" s="43"/>
      <c r="AF211" s="43"/>
    </row>
    <row r="212" spans="1:32" s="65" customFormat="1" ht="45" x14ac:dyDescent="0.25">
      <c r="A212" s="71" t="s">
        <v>23</v>
      </c>
      <c r="B212" s="71" t="s">
        <v>23</v>
      </c>
      <c r="C212" s="71" t="s">
        <v>33</v>
      </c>
      <c r="D212" s="72">
        <v>0</v>
      </c>
      <c r="E212" s="72">
        <v>4</v>
      </c>
      <c r="F212" s="72">
        <v>0</v>
      </c>
      <c r="G212" s="72">
        <v>9</v>
      </c>
      <c r="H212" s="71" t="s">
        <v>23</v>
      </c>
      <c r="I212" s="71" t="s">
        <v>31</v>
      </c>
      <c r="J212" s="71" t="s">
        <v>24</v>
      </c>
      <c r="K212" s="71" t="s">
        <v>23</v>
      </c>
      <c r="L212" s="71" t="s">
        <v>23</v>
      </c>
      <c r="M212" s="71" t="s">
        <v>23</v>
      </c>
      <c r="N212" s="71" t="s">
        <v>23</v>
      </c>
      <c r="O212" s="71" t="s">
        <v>23</v>
      </c>
      <c r="P212" s="71" t="s">
        <v>23</v>
      </c>
      <c r="Q212" s="71" t="s">
        <v>23</v>
      </c>
      <c r="R212" s="72" t="s">
        <v>218</v>
      </c>
      <c r="S212" s="73" t="s">
        <v>59</v>
      </c>
      <c r="T212" s="74"/>
      <c r="U212" s="74"/>
      <c r="V212" s="75">
        <f>V213+V214+V215</f>
        <v>982.4</v>
      </c>
      <c r="W212" s="74"/>
      <c r="X212" s="74"/>
      <c r="Y212" s="74"/>
      <c r="Z212" s="75">
        <f>V212</f>
        <v>982.4</v>
      </c>
      <c r="AA212" s="73">
        <v>2017</v>
      </c>
      <c r="AB212" s="48"/>
      <c r="AC212" s="42"/>
      <c r="AD212" s="42"/>
      <c r="AE212" s="43"/>
      <c r="AF212" s="43"/>
    </row>
    <row r="213" spans="1:32" s="65" customFormat="1" ht="45" x14ac:dyDescent="0.25">
      <c r="A213" s="71" t="s">
        <v>23</v>
      </c>
      <c r="B213" s="71" t="s">
        <v>23</v>
      </c>
      <c r="C213" s="71" t="s">
        <v>33</v>
      </c>
      <c r="D213" s="72">
        <v>0</v>
      </c>
      <c r="E213" s="72">
        <v>4</v>
      </c>
      <c r="F213" s="72">
        <v>0</v>
      </c>
      <c r="G213" s="72">
        <v>9</v>
      </c>
      <c r="H213" s="71" t="s">
        <v>23</v>
      </c>
      <c r="I213" s="71" t="s">
        <v>31</v>
      </c>
      <c r="J213" s="71" t="s">
        <v>24</v>
      </c>
      <c r="K213" s="71" t="s">
        <v>23</v>
      </c>
      <c r="L213" s="71" t="s">
        <v>33</v>
      </c>
      <c r="M213" s="71" t="s">
        <v>180</v>
      </c>
      <c r="N213" s="71" t="s">
        <v>23</v>
      </c>
      <c r="O213" s="71" t="s">
        <v>33</v>
      </c>
      <c r="P213" s="71" t="s">
        <v>34</v>
      </c>
      <c r="Q213" s="71" t="s">
        <v>208</v>
      </c>
      <c r="R213" s="72" t="s">
        <v>218</v>
      </c>
      <c r="S213" s="73" t="s">
        <v>59</v>
      </c>
      <c r="T213" s="74"/>
      <c r="U213" s="74"/>
      <c r="V213" s="74">
        <v>442.1</v>
      </c>
      <c r="W213" s="74"/>
      <c r="X213" s="74"/>
      <c r="Y213" s="74"/>
      <c r="Z213" s="75">
        <f t="shared" ref="Z213:Z215" si="47">V213</f>
        <v>442.1</v>
      </c>
      <c r="AA213" s="73">
        <v>2017</v>
      </c>
      <c r="AB213" s="48"/>
      <c r="AC213" s="42"/>
      <c r="AD213" s="42"/>
      <c r="AE213" s="43"/>
      <c r="AF213" s="43"/>
    </row>
    <row r="214" spans="1:32" s="65" customFormat="1" ht="45" x14ac:dyDescent="0.25">
      <c r="A214" s="71" t="s">
        <v>23</v>
      </c>
      <c r="B214" s="71" t="s">
        <v>23</v>
      </c>
      <c r="C214" s="71" t="s">
        <v>33</v>
      </c>
      <c r="D214" s="72">
        <v>0</v>
      </c>
      <c r="E214" s="72">
        <v>4</v>
      </c>
      <c r="F214" s="72">
        <v>0</v>
      </c>
      <c r="G214" s="72">
        <v>9</v>
      </c>
      <c r="H214" s="71" t="s">
        <v>23</v>
      </c>
      <c r="I214" s="71" t="s">
        <v>31</v>
      </c>
      <c r="J214" s="71" t="s">
        <v>24</v>
      </c>
      <c r="K214" s="71" t="s">
        <v>23</v>
      </c>
      <c r="L214" s="71" t="s">
        <v>33</v>
      </c>
      <c r="M214" s="71" t="s">
        <v>180</v>
      </c>
      <c r="N214" s="71" t="s">
        <v>23</v>
      </c>
      <c r="O214" s="71" t="s">
        <v>33</v>
      </c>
      <c r="P214" s="71" t="s">
        <v>34</v>
      </c>
      <c r="Q214" s="71" t="s">
        <v>215</v>
      </c>
      <c r="R214" s="72" t="s">
        <v>218</v>
      </c>
      <c r="S214" s="73" t="s">
        <v>59</v>
      </c>
      <c r="T214" s="74"/>
      <c r="U214" s="74"/>
      <c r="V214" s="74">
        <v>147.4</v>
      </c>
      <c r="W214" s="74"/>
      <c r="X214" s="74"/>
      <c r="Y214" s="74"/>
      <c r="Z214" s="75">
        <f t="shared" si="47"/>
        <v>147.4</v>
      </c>
      <c r="AA214" s="73">
        <v>2017</v>
      </c>
      <c r="AB214" s="48"/>
      <c r="AC214" s="42"/>
      <c r="AD214" s="42"/>
      <c r="AE214" s="43"/>
      <c r="AF214" s="43"/>
    </row>
    <row r="215" spans="1:32" s="65" customFormat="1" ht="45" x14ac:dyDescent="0.25">
      <c r="A215" s="71" t="s">
        <v>23</v>
      </c>
      <c r="B215" s="71" t="s">
        <v>23</v>
      </c>
      <c r="C215" s="71" t="s">
        <v>33</v>
      </c>
      <c r="D215" s="72">
        <v>0</v>
      </c>
      <c r="E215" s="72">
        <v>4</v>
      </c>
      <c r="F215" s="72">
        <v>0</v>
      </c>
      <c r="G215" s="72">
        <v>9</v>
      </c>
      <c r="H215" s="71" t="s">
        <v>23</v>
      </c>
      <c r="I215" s="71" t="s">
        <v>31</v>
      </c>
      <c r="J215" s="71" t="s">
        <v>24</v>
      </c>
      <c r="K215" s="71" t="s">
        <v>23</v>
      </c>
      <c r="L215" s="71" t="s">
        <v>33</v>
      </c>
      <c r="M215" s="71" t="s">
        <v>180</v>
      </c>
      <c r="N215" s="71" t="s">
        <v>23</v>
      </c>
      <c r="O215" s="71" t="s">
        <v>33</v>
      </c>
      <c r="P215" s="71" t="s">
        <v>34</v>
      </c>
      <c r="Q215" s="71" t="s">
        <v>216</v>
      </c>
      <c r="R215" s="72" t="s">
        <v>218</v>
      </c>
      <c r="S215" s="73" t="s">
        <v>59</v>
      </c>
      <c r="T215" s="74"/>
      <c r="U215" s="74"/>
      <c r="V215" s="74">
        <v>392.9</v>
      </c>
      <c r="W215" s="74"/>
      <c r="X215" s="74"/>
      <c r="Y215" s="74"/>
      <c r="Z215" s="75">
        <f t="shared" si="47"/>
        <v>392.9</v>
      </c>
      <c r="AA215" s="73">
        <v>2017</v>
      </c>
      <c r="AB215" s="48"/>
      <c r="AC215" s="42"/>
      <c r="AD215" s="42"/>
      <c r="AE215" s="43"/>
      <c r="AF215" s="43"/>
    </row>
    <row r="216" spans="1:32" s="65" customFormat="1" ht="60" x14ac:dyDescent="0.25">
      <c r="A216" s="41"/>
      <c r="B216" s="41"/>
      <c r="C216" s="41"/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17" t="s">
        <v>233</v>
      </c>
      <c r="S216" s="15" t="s">
        <v>60</v>
      </c>
      <c r="T216" s="8"/>
      <c r="U216" s="8"/>
      <c r="V216" s="8">
        <v>0.7</v>
      </c>
      <c r="W216" s="8"/>
      <c r="X216" s="8"/>
      <c r="Y216" s="8"/>
      <c r="Z216" s="5">
        <f>V216</f>
        <v>0.7</v>
      </c>
      <c r="AA216" s="15">
        <v>2017</v>
      </c>
      <c r="AB216" s="48"/>
      <c r="AC216" s="42"/>
      <c r="AD216" s="42"/>
      <c r="AE216" s="43"/>
      <c r="AF216" s="43"/>
    </row>
    <row r="217" spans="1:32" s="65" customFormat="1" ht="45" x14ac:dyDescent="0.25">
      <c r="A217" s="71" t="s">
        <v>23</v>
      </c>
      <c r="B217" s="71" t="s">
        <v>23</v>
      </c>
      <c r="C217" s="71" t="s">
        <v>33</v>
      </c>
      <c r="D217" s="72">
        <v>0</v>
      </c>
      <c r="E217" s="72">
        <v>4</v>
      </c>
      <c r="F217" s="72">
        <v>0</v>
      </c>
      <c r="G217" s="72">
        <v>9</v>
      </c>
      <c r="H217" s="71" t="s">
        <v>23</v>
      </c>
      <c r="I217" s="71" t="s">
        <v>31</v>
      </c>
      <c r="J217" s="71" t="s">
        <v>24</v>
      </c>
      <c r="K217" s="71" t="s">
        <v>23</v>
      </c>
      <c r="L217" s="71" t="s">
        <v>23</v>
      </c>
      <c r="M217" s="71" t="s">
        <v>23</v>
      </c>
      <c r="N217" s="71" t="s">
        <v>23</v>
      </c>
      <c r="O217" s="71" t="s">
        <v>23</v>
      </c>
      <c r="P217" s="71" t="s">
        <v>23</v>
      </c>
      <c r="Q217" s="71" t="s">
        <v>23</v>
      </c>
      <c r="R217" s="72" t="s">
        <v>219</v>
      </c>
      <c r="S217" s="73" t="s">
        <v>59</v>
      </c>
      <c r="T217" s="74"/>
      <c r="U217" s="74"/>
      <c r="V217" s="75">
        <f>V218+V219+V220</f>
        <v>918.59999999999991</v>
      </c>
      <c r="W217" s="74"/>
      <c r="X217" s="74"/>
      <c r="Y217" s="74"/>
      <c r="Z217" s="75">
        <f>V217</f>
        <v>918.59999999999991</v>
      </c>
      <c r="AA217" s="73">
        <v>2017</v>
      </c>
      <c r="AB217" s="48"/>
      <c r="AC217" s="42"/>
      <c r="AD217" s="42"/>
      <c r="AE217" s="43"/>
      <c r="AF217" s="43"/>
    </row>
    <row r="218" spans="1:32" s="65" customFormat="1" ht="45" x14ac:dyDescent="0.25">
      <c r="A218" s="71" t="s">
        <v>23</v>
      </c>
      <c r="B218" s="71" t="s">
        <v>23</v>
      </c>
      <c r="C218" s="71" t="s">
        <v>33</v>
      </c>
      <c r="D218" s="72">
        <v>0</v>
      </c>
      <c r="E218" s="72">
        <v>4</v>
      </c>
      <c r="F218" s="72">
        <v>0</v>
      </c>
      <c r="G218" s="72">
        <v>9</v>
      </c>
      <c r="H218" s="71" t="s">
        <v>23</v>
      </c>
      <c r="I218" s="71" t="s">
        <v>31</v>
      </c>
      <c r="J218" s="71" t="s">
        <v>24</v>
      </c>
      <c r="K218" s="71" t="s">
        <v>23</v>
      </c>
      <c r="L218" s="71" t="s">
        <v>33</v>
      </c>
      <c r="M218" s="71" t="s">
        <v>180</v>
      </c>
      <c r="N218" s="71" t="s">
        <v>23</v>
      </c>
      <c r="O218" s="71" t="s">
        <v>33</v>
      </c>
      <c r="P218" s="71" t="s">
        <v>34</v>
      </c>
      <c r="Q218" s="71" t="s">
        <v>208</v>
      </c>
      <c r="R218" s="72" t="s">
        <v>219</v>
      </c>
      <c r="S218" s="73" t="s">
        <v>59</v>
      </c>
      <c r="T218" s="74"/>
      <c r="U218" s="74"/>
      <c r="V218" s="74">
        <v>440.9</v>
      </c>
      <c r="W218" s="74"/>
      <c r="X218" s="74"/>
      <c r="Y218" s="74"/>
      <c r="Z218" s="75">
        <f t="shared" ref="Z218:Z221" si="48">V218</f>
        <v>440.9</v>
      </c>
      <c r="AA218" s="73">
        <v>2017</v>
      </c>
      <c r="AB218" s="48"/>
      <c r="AC218" s="42"/>
      <c r="AD218" s="42"/>
      <c r="AE218" s="43"/>
      <c r="AF218" s="43"/>
    </row>
    <row r="219" spans="1:32" s="65" customFormat="1" ht="45" x14ac:dyDescent="0.25">
      <c r="A219" s="71" t="s">
        <v>23</v>
      </c>
      <c r="B219" s="71" t="s">
        <v>23</v>
      </c>
      <c r="C219" s="71" t="s">
        <v>33</v>
      </c>
      <c r="D219" s="72">
        <v>0</v>
      </c>
      <c r="E219" s="72">
        <v>4</v>
      </c>
      <c r="F219" s="72">
        <v>0</v>
      </c>
      <c r="G219" s="72">
        <v>9</v>
      </c>
      <c r="H219" s="71" t="s">
        <v>23</v>
      </c>
      <c r="I219" s="71" t="s">
        <v>31</v>
      </c>
      <c r="J219" s="71" t="s">
        <v>24</v>
      </c>
      <c r="K219" s="71" t="s">
        <v>23</v>
      </c>
      <c r="L219" s="71" t="s">
        <v>33</v>
      </c>
      <c r="M219" s="71" t="s">
        <v>180</v>
      </c>
      <c r="N219" s="71" t="s">
        <v>23</v>
      </c>
      <c r="O219" s="71" t="s">
        <v>33</v>
      </c>
      <c r="P219" s="71" t="s">
        <v>34</v>
      </c>
      <c r="Q219" s="71" t="s">
        <v>215</v>
      </c>
      <c r="R219" s="72" t="s">
        <v>219</v>
      </c>
      <c r="S219" s="73" t="s">
        <v>59</v>
      </c>
      <c r="T219" s="74"/>
      <c r="U219" s="74"/>
      <c r="V219" s="74">
        <v>110.3</v>
      </c>
      <c r="W219" s="74"/>
      <c r="X219" s="74"/>
      <c r="Y219" s="74"/>
      <c r="Z219" s="75">
        <f t="shared" si="48"/>
        <v>110.3</v>
      </c>
      <c r="AA219" s="73">
        <v>2017</v>
      </c>
      <c r="AB219" s="48"/>
      <c r="AC219" s="42"/>
      <c r="AD219" s="42"/>
      <c r="AE219" s="43"/>
      <c r="AF219" s="43"/>
    </row>
    <row r="220" spans="1:32" s="65" customFormat="1" ht="45" x14ac:dyDescent="0.25">
      <c r="A220" s="71" t="s">
        <v>23</v>
      </c>
      <c r="B220" s="71" t="s">
        <v>23</v>
      </c>
      <c r="C220" s="71" t="s">
        <v>33</v>
      </c>
      <c r="D220" s="72">
        <v>0</v>
      </c>
      <c r="E220" s="72">
        <v>4</v>
      </c>
      <c r="F220" s="72">
        <v>0</v>
      </c>
      <c r="G220" s="72">
        <v>9</v>
      </c>
      <c r="H220" s="71" t="s">
        <v>23</v>
      </c>
      <c r="I220" s="71" t="s">
        <v>31</v>
      </c>
      <c r="J220" s="71" t="s">
        <v>24</v>
      </c>
      <c r="K220" s="71" t="s">
        <v>23</v>
      </c>
      <c r="L220" s="71" t="s">
        <v>33</v>
      </c>
      <c r="M220" s="71" t="s">
        <v>180</v>
      </c>
      <c r="N220" s="71" t="s">
        <v>23</v>
      </c>
      <c r="O220" s="71" t="s">
        <v>33</v>
      </c>
      <c r="P220" s="71" t="s">
        <v>34</v>
      </c>
      <c r="Q220" s="71" t="s">
        <v>216</v>
      </c>
      <c r="R220" s="72" t="s">
        <v>219</v>
      </c>
      <c r="S220" s="73" t="s">
        <v>59</v>
      </c>
      <c r="T220" s="74"/>
      <c r="U220" s="74"/>
      <c r="V220" s="74">
        <v>367.4</v>
      </c>
      <c r="W220" s="74"/>
      <c r="X220" s="74"/>
      <c r="Y220" s="74"/>
      <c r="Z220" s="75">
        <f t="shared" si="48"/>
        <v>367.4</v>
      </c>
      <c r="AA220" s="73">
        <v>2017</v>
      </c>
      <c r="AB220" s="48"/>
      <c r="AC220" s="42"/>
      <c r="AD220" s="42"/>
      <c r="AE220" s="43"/>
      <c r="AF220" s="43"/>
    </row>
    <row r="221" spans="1:32" s="65" customFormat="1" ht="30" x14ac:dyDescent="0.25">
      <c r="A221" s="41"/>
      <c r="B221" s="41"/>
      <c r="C221" s="41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17" t="s">
        <v>188</v>
      </c>
      <c r="S221" s="15" t="s">
        <v>60</v>
      </c>
      <c r="T221" s="8"/>
      <c r="U221" s="8"/>
      <c r="V221" s="8">
        <v>0.4</v>
      </c>
      <c r="W221" s="8"/>
      <c r="X221" s="8"/>
      <c r="Y221" s="8"/>
      <c r="Z221" s="5">
        <f t="shared" si="48"/>
        <v>0.4</v>
      </c>
      <c r="AA221" s="15">
        <v>2017</v>
      </c>
      <c r="AB221" s="48"/>
      <c r="AC221" s="42"/>
      <c r="AD221" s="42"/>
      <c r="AE221" s="43"/>
      <c r="AF221" s="43"/>
    </row>
    <row r="222" spans="1:32" s="65" customFormat="1" ht="30" x14ac:dyDescent="0.25">
      <c r="A222" s="71" t="s">
        <v>23</v>
      </c>
      <c r="B222" s="71" t="s">
        <v>23</v>
      </c>
      <c r="C222" s="71" t="s">
        <v>33</v>
      </c>
      <c r="D222" s="72">
        <v>0</v>
      </c>
      <c r="E222" s="72">
        <v>4</v>
      </c>
      <c r="F222" s="72">
        <v>0</v>
      </c>
      <c r="G222" s="72">
        <v>9</v>
      </c>
      <c r="H222" s="71" t="s">
        <v>23</v>
      </c>
      <c r="I222" s="71" t="s">
        <v>31</v>
      </c>
      <c r="J222" s="71" t="s">
        <v>24</v>
      </c>
      <c r="K222" s="71" t="s">
        <v>23</v>
      </c>
      <c r="L222" s="71" t="s">
        <v>23</v>
      </c>
      <c r="M222" s="71" t="s">
        <v>23</v>
      </c>
      <c r="N222" s="71" t="s">
        <v>23</v>
      </c>
      <c r="O222" s="71" t="s">
        <v>23</v>
      </c>
      <c r="P222" s="71" t="s">
        <v>23</v>
      </c>
      <c r="Q222" s="71" t="s">
        <v>23</v>
      </c>
      <c r="R222" s="72" t="s">
        <v>220</v>
      </c>
      <c r="S222" s="73" t="s">
        <v>59</v>
      </c>
      <c r="T222" s="74"/>
      <c r="U222" s="74"/>
      <c r="V222" s="75">
        <f>V223+V224+V225</f>
        <v>893.8</v>
      </c>
      <c r="W222" s="74"/>
      <c r="X222" s="74"/>
      <c r="Y222" s="74"/>
      <c r="Z222" s="75">
        <f>V222</f>
        <v>893.8</v>
      </c>
      <c r="AA222" s="73">
        <v>2017</v>
      </c>
      <c r="AB222" s="48"/>
      <c r="AC222" s="42"/>
      <c r="AD222" s="42"/>
      <c r="AE222" s="43"/>
      <c r="AF222" s="43"/>
    </row>
    <row r="223" spans="1:32" s="65" customFormat="1" ht="30" x14ac:dyDescent="0.25">
      <c r="A223" s="71" t="s">
        <v>23</v>
      </c>
      <c r="B223" s="71" t="s">
        <v>23</v>
      </c>
      <c r="C223" s="71" t="s">
        <v>33</v>
      </c>
      <c r="D223" s="72">
        <v>0</v>
      </c>
      <c r="E223" s="72">
        <v>4</v>
      </c>
      <c r="F223" s="72">
        <v>0</v>
      </c>
      <c r="G223" s="72">
        <v>9</v>
      </c>
      <c r="H223" s="71" t="s">
        <v>23</v>
      </c>
      <c r="I223" s="71" t="s">
        <v>31</v>
      </c>
      <c r="J223" s="71" t="s">
        <v>24</v>
      </c>
      <c r="K223" s="71" t="s">
        <v>23</v>
      </c>
      <c r="L223" s="71" t="s">
        <v>33</v>
      </c>
      <c r="M223" s="71" t="s">
        <v>180</v>
      </c>
      <c r="N223" s="71" t="s">
        <v>23</v>
      </c>
      <c r="O223" s="71" t="s">
        <v>33</v>
      </c>
      <c r="P223" s="71" t="s">
        <v>34</v>
      </c>
      <c r="Q223" s="71" t="s">
        <v>208</v>
      </c>
      <c r="R223" s="72" t="s">
        <v>220</v>
      </c>
      <c r="S223" s="73" t="s">
        <v>59</v>
      </c>
      <c r="T223" s="74"/>
      <c r="U223" s="74"/>
      <c r="V223" s="74">
        <v>429</v>
      </c>
      <c r="W223" s="74"/>
      <c r="X223" s="74"/>
      <c r="Y223" s="74"/>
      <c r="Z223" s="75">
        <f t="shared" ref="Z223:Z225" si="49">V223</f>
        <v>429</v>
      </c>
      <c r="AA223" s="73">
        <v>2017</v>
      </c>
      <c r="AB223" s="48"/>
      <c r="AC223" s="42"/>
      <c r="AD223" s="42"/>
      <c r="AE223" s="43"/>
      <c r="AF223" s="43"/>
    </row>
    <row r="224" spans="1:32" s="65" customFormat="1" ht="30" x14ac:dyDescent="0.25">
      <c r="A224" s="71" t="s">
        <v>23</v>
      </c>
      <c r="B224" s="71" t="s">
        <v>23</v>
      </c>
      <c r="C224" s="71" t="s">
        <v>33</v>
      </c>
      <c r="D224" s="72">
        <v>0</v>
      </c>
      <c r="E224" s="72">
        <v>4</v>
      </c>
      <c r="F224" s="72">
        <v>0</v>
      </c>
      <c r="G224" s="72">
        <v>9</v>
      </c>
      <c r="H224" s="71" t="s">
        <v>23</v>
      </c>
      <c r="I224" s="71" t="s">
        <v>31</v>
      </c>
      <c r="J224" s="71" t="s">
        <v>24</v>
      </c>
      <c r="K224" s="71" t="s">
        <v>23</v>
      </c>
      <c r="L224" s="71" t="s">
        <v>33</v>
      </c>
      <c r="M224" s="71" t="s">
        <v>180</v>
      </c>
      <c r="N224" s="71" t="s">
        <v>23</v>
      </c>
      <c r="O224" s="71" t="s">
        <v>33</v>
      </c>
      <c r="P224" s="71" t="s">
        <v>34</v>
      </c>
      <c r="Q224" s="71" t="s">
        <v>215</v>
      </c>
      <c r="R224" s="72" t="s">
        <v>220</v>
      </c>
      <c r="S224" s="73" t="s">
        <v>59</v>
      </c>
      <c r="T224" s="74"/>
      <c r="U224" s="74"/>
      <c r="V224" s="74">
        <v>107.3</v>
      </c>
      <c r="W224" s="74"/>
      <c r="X224" s="74"/>
      <c r="Y224" s="74"/>
      <c r="Z224" s="75">
        <f t="shared" si="49"/>
        <v>107.3</v>
      </c>
      <c r="AA224" s="73">
        <v>2017</v>
      </c>
      <c r="AB224" s="48"/>
      <c r="AC224" s="42"/>
      <c r="AD224" s="42"/>
      <c r="AE224" s="43"/>
      <c r="AF224" s="43"/>
    </row>
    <row r="225" spans="1:32" s="65" customFormat="1" ht="30" x14ac:dyDescent="0.25">
      <c r="A225" s="71" t="s">
        <v>23</v>
      </c>
      <c r="B225" s="71" t="s">
        <v>23</v>
      </c>
      <c r="C225" s="71" t="s">
        <v>33</v>
      </c>
      <c r="D225" s="72">
        <v>0</v>
      </c>
      <c r="E225" s="72">
        <v>4</v>
      </c>
      <c r="F225" s="72">
        <v>0</v>
      </c>
      <c r="G225" s="72">
        <v>9</v>
      </c>
      <c r="H225" s="71" t="s">
        <v>23</v>
      </c>
      <c r="I225" s="71" t="s">
        <v>31</v>
      </c>
      <c r="J225" s="71" t="s">
        <v>24</v>
      </c>
      <c r="K225" s="71" t="s">
        <v>23</v>
      </c>
      <c r="L225" s="71" t="s">
        <v>33</v>
      </c>
      <c r="M225" s="71" t="s">
        <v>180</v>
      </c>
      <c r="N225" s="71" t="s">
        <v>23</v>
      </c>
      <c r="O225" s="71" t="s">
        <v>33</v>
      </c>
      <c r="P225" s="71" t="s">
        <v>34</v>
      </c>
      <c r="Q225" s="71" t="s">
        <v>216</v>
      </c>
      <c r="R225" s="72" t="s">
        <v>220</v>
      </c>
      <c r="S225" s="73" t="s">
        <v>59</v>
      </c>
      <c r="T225" s="74"/>
      <c r="U225" s="74"/>
      <c r="V225" s="74">
        <v>357.5</v>
      </c>
      <c r="W225" s="74"/>
      <c r="X225" s="74"/>
      <c r="Y225" s="74"/>
      <c r="Z225" s="75">
        <f t="shared" si="49"/>
        <v>357.5</v>
      </c>
      <c r="AA225" s="73">
        <v>2017</v>
      </c>
      <c r="AB225" s="48"/>
      <c r="AC225" s="42"/>
      <c r="AD225" s="42"/>
      <c r="AE225" s="43"/>
      <c r="AF225" s="43"/>
    </row>
    <row r="226" spans="1:32" s="65" customFormat="1" ht="60" x14ac:dyDescent="0.25">
      <c r="A226" s="41"/>
      <c r="B226" s="41"/>
      <c r="C226" s="41"/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17" t="s">
        <v>233</v>
      </c>
      <c r="S226" s="15" t="s">
        <v>60</v>
      </c>
      <c r="T226" s="8"/>
      <c r="U226" s="8"/>
      <c r="V226" s="8">
        <v>1</v>
      </c>
      <c r="W226" s="8"/>
      <c r="X226" s="8"/>
      <c r="Y226" s="8"/>
      <c r="Z226" s="5">
        <f>V226</f>
        <v>1</v>
      </c>
      <c r="AA226" s="15">
        <v>2017</v>
      </c>
      <c r="AB226" s="48"/>
      <c r="AC226" s="42"/>
      <c r="AD226" s="42"/>
      <c r="AE226" s="43"/>
      <c r="AF226" s="43"/>
    </row>
    <row r="227" spans="1:32" s="65" customFormat="1" ht="45" x14ac:dyDescent="0.25">
      <c r="A227" s="71" t="s">
        <v>23</v>
      </c>
      <c r="B227" s="71" t="s">
        <v>23</v>
      </c>
      <c r="C227" s="71" t="s">
        <v>33</v>
      </c>
      <c r="D227" s="72">
        <v>0</v>
      </c>
      <c r="E227" s="72">
        <v>4</v>
      </c>
      <c r="F227" s="72">
        <v>0</v>
      </c>
      <c r="G227" s="72">
        <v>9</v>
      </c>
      <c r="H227" s="71" t="s">
        <v>23</v>
      </c>
      <c r="I227" s="71" t="s">
        <v>31</v>
      </c>
      <c r="J227" s="71" t="s">
        <v>24</v>
      </c>
      <c r="K227" s="71" t="s">
        <v>23</v>
      </c>
      <c r="L227" s="71" t="s">
        <v>23</v>
      </c>
      <c r="M227" s="71" t="s">
        <v>23</v>
      </c>
      <c r="N227" s="71" t="s">
        <v>23</v>
      </c>
      <c r="O227" s="71" t="s">
        <v>23</v>
      </c>
      <c r="P227" s="71" t="s">
        <v>23</v>
      </c>
      <c r="Q227" s="71" t="s">
        <v>23</v>
      </c>
      <c r="R227" s="72" t="s">
        <v>221</v>
      </c>
      <c r="S227" s="73" t="s">
        <v>59</v>
      </c>
      <c r="T227" s="74"/>
      <c r="U227" s="74"/>
      <c r="V227" s="75">
        <f>V228+V229+V230</f>
        <v>985.8</v>
      </c>
      <c r="W227" s="74"/>
      <c r="X227" s="74"/>
      <c r="Y227" s="74"/>
      <c r="Z227" s="75">
        <f>V227</f>
        <v>985.8</v>
      </c>
      <c r="AA227" s="73">
        <v>2017</v>
      </c>
      <c r="AB227" s="48"/>
      <c r="AC227" s="42"/>
      <c r="AD227" s="42"/>
      <c r="AE227" s="43"/>
      <c r="AF227" s="43"/>
    </row>
    <row r="228" spans="1:32" s="65" customFormat="1" ht="45" x14ac:dyDescent="0.25">
      <c r="A228" s="71" t="s">
        <v>23</v>
      </c>
      <c r="B228" s="71" t="s">
        <v>23</v>
      </c>
      <c r="C228" s="71" t="s">
        <v>33</v>
      </c>
      <c r="D228" s="72">
        <v>0</v>
      </c>
      <c r="E228" s="72">
        <v>4</v>
      </c>
      <c r="F228" s="72">
        <v>0</v>
      </c>
      <c r="G228" s="72">
        <v>9</v>
      </c>
      <c r="H228" s="71" t="s">
        <v>23</v>
      </c>
      <c r="I228" s="71" t="s">
        <v>31</v>
      </c>
      <c r="J228" s="71" t="s">
        <v>24</v>
      </c>
      <c r="K228" s="71" t="s">
        <v>23</v>
      </c>
      <c r="L228" s="71" t="s">
        <v>33</v>
      </c>
      <c r="M228" s="71" t="s">
        <v>180</v>
      </c>
      <c r="N228" s="71" t="s">
        <v>23</v>
      </c>
      <c r="O228" s="71" t="s">
        <v>33</v>
      </c>
      <c r="P228" s="71" t="s">
        <v>34</v>
      </c>
      <c r="Q228" s="71" t="s">
        <v>208</v>
      </c>
      <c r="R228" s="72" t="s">
        <v>221</v>
      </c>
      <c r="S228" s="73" t="s">
        <v>59</v>
      </c>
      <c r="T228" s="74"/>
      <c r="U228" s="74"/>
      <c r="V228" s="74">
        <v>473.2</v>
      </c>
      <c r="W228" s="74"/>
      <c r="X228" s="74"/>
      <c r="Y228" s="74"/>
      <c r="Z228" s="75">
        <f t="shared" ref="Z228:Z230" si="50">V228</f>
        <v>473.2</v>
      </c>
      <c r="AA228" s="73">
        <v>2017</v>
      </c>
      <c r="AB228" s="48"/>
      <c r="AC228" s="42"/>
      <c r="AD228" s="42"/>
      <c r="AE228" s="43"/>
      <c r="AF228" s="43"/>
    </row>
    <row r="229" spans="1:32" s="65" customFormat="1" ht="45" x14ac:dyDescent="0.25">
      <c r="A229" s="71" t="s">
        <v>23</v>
      </c>
      <c r="B229" s="71" t="s">
        <v>23</v>
      </c>
      <c r="C229" s="71" t="s">
        <v>33</v>
      </c>
      <c r="D229" s="72">
        <v>0</v>
      </c>
      <c r="E229" s="72">
        <v>4</v>
      </c>
      <c r="F229" s="72">
        <v>0</v>
      </c>
      <c r="G229" s="72">
        <v>9</v>
      </c>
      <c r="H229" s="71" t="s">
        <v>23</v>
      </c>
      <c r="I229" s="71" t="s">
        <v>31</v>
      </c>
      <c r="J229" s="71" t="s">
        <v>24</v>
      </c>
      <c r="K229" s="71" t="s">
        <v>23</v>
      </c>
      <c r="L229" s="71" t="s">
        <v>33</v>
      </c>
      <c r="M229" s="71" t="s">
        <v>180</v>
      </c>
      <c r="N229" s="71" t="s">
        <v>23</v>
      </c>
      <c r="O229" s="71" t="s">
        <v>33</v>
      </c>
      <c r="P229" s="71" t="s">
        <v>34</v>
      </c>
      <c r="Q229" s="71" t="s">
        <v>215</v>
      </c>
      <c r="R229" s="72" t="s">
        <v>221</v>
      </c>
      <c r="S229" s="73" t="s">
        <v>59</v>
      </c>
      <c r="T229" s="74"/>
      <c r="U229" s="74"/>
      <c r="V229" s="74">
        <v>118.3</v>
      </c>
      <c r="W229" s="74"/>
      <c r="X229" s="74"/>
      <c r="Y229" s="74"/>
      <c r="Z229" s="75">
        <f t="shared" si="50"/>
        <v>118.3</v>
      </c>
      <c r="AA229" s="73">
        <v>2017</v>
      </c>
      <c r="AB229" s="48"/>
      <c r="AC229" s="42"/>
      <c r="AD229" s="42"/>
      <c r="AE229" s="43"/>
      <c r="AF229" s="43"/>
    </row>
    <row r="230" spans="1:32" s="65" customFormat="1" ht="45" x14ac:dyDescent="0.25">
      <c r="A230" s="71" t="s">
        <v>23</v>
      </c>
      <c r="B230" s="71" t="s">
        <v>23</v>
      </c>
      <c r="C230" s="71" t="s">
        <v>33</v>
      </c>
      <c r="D230" s="72">
        <v>0</v>
      </c>
      <c r="E230" s="72">
        <v>4</v>
      </c>
      <c r="F230" s="72">
        <v>0</v>
      </c>
      <c r="G230" s="72">
        <v>9</v>
      </c>
      <c r="H230" s="71" t="s">
        <v>23</v>
      </c>
      <c r="I230" s="71" t="s">
        <v>31</v>
      </c>
      <c r="J230" s="71" t="s">
        <v>24</v>
      </c>
      <c r="K230" s="71" t="s">
        <v>23</v>
      </c>
      <c r="L230" s="71" t="s">
        <v>33</v>
      </c>
      <c r="M230" s="71" t="s">
        <v>180</v>
      </c>
      <c r="N230" s="71" t="s">
        <v>23</v>
      </c>
      <c r="O230" s="71" t="s">
        <v>33</v>
      </c>
      <c r="P230" s="71" t="s">
        <v>34</v>
      </c>
      <c r="Q230" s="71" t="s">
        <v>216</v>
      </c>
      <c r="R230" s="72" t="s">
        <v>221</v>
      </c>
      <c r="S230" s="73" t="s">
        <v>59</v>
      </c>
      <c r="T230" s="74"/>
      <c r="U230" s="74"/>
      <c r="V230" s="74">
        <v>394.3</v>
      </c>
      <c r="W230" s="74"/>
      <c r="X230" s="74"/>
      <c r="Y230" s="74"/>
      <c r="Z230" s="75">
        <f t="shared" si="50"/>
        <v>394.3</v>
      </c>
      <c r="AA230" s="73">
        <v>2017</v>
      </c>
      <c r="AB230" s="48"/>
      <c r="AC230" s="42"/>
      <c r="AD230" s="42"/>
      <c r="AE230" s="43"/>
      <c r="AF230" s="43"/>
    </row>
    <row r="231" spans="1:32" s="65" customFormat="1" ht="60" x14ac:dyDescent="0.25">
      <c r="A231" s="41"/>
      <c r="B231" s="41"/>
      <c r="C231" s="41"/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17" t="s">
        <v>233</v>
      </c>
      <c r="S231" s="15" t="s">
        <v>60</v>
      </c>
      <c r="T231" s="8"/>
      <c r="U231" s="8"/>
      <c r="V231" s="8">
        <v>0.6</v>
      </c>
      <c r="W231" s="8"/>
      <c r="X231" s="8"/>
      <c r="Y231" s="8"/>
      <c r="Z231" s="5">
        <f>V231</f>
        <v>0.6</v>
      </c>
      <c r="AA231" s="15">
        <v>2017</v>
      </c>
      <c r="AB231" s="48"/>
      <c r="AC231" s="42"/>
      <c r="AD231" s="42"/>
      <c r="AE231" s="43"/>
      <c r="AF231" s="43"/>
    </row>
    <row r="232" spans="1:32" s="65" customFormat="1" ht="45" x14ac:dyDescent="0.25">
      <c r="A232" s="71" t="s">
        <v>23</v>
      </c>
      <c r="B232" s="71" t="s">
        <v>23</v>
      </c>
      <c r="C232" s="71" t="s">
        <v>33</v>
      </c>
      <c r="D232" s="72">
        <v>0</v>
      </c>
      <c r="E232" s="72">
        <v>4</v>
      </c>
      <c r="F232" s="72">
        <v>0</v>
      </c>
      <c r="G232" s="72">
        <v>9</v>
      </c>
      <c r="H232" s="71" t="s">
        <v>23</v>
      </c>
      <c r="I232" s="71" t="s">
        <v>31</v>
      </c>
      <c r="J232" s="71" t="s">
        <v>24</v>
      </c>
      <c r="K232" s="71" t="s">
        <v>23</v>
      </c>
      <c r="L232" s="71" t="s">
        <v>23</v>
      </c>
      <c r="M232" s="71" t="s">
        <v>23</v>
      </c>
      <c r="N232" s="71" t="s">
        <v>23</v>
      </c>
      <c r="O232" s="71" t="s">
        <v>23</v>
      </c>
      <c r="P232" s="71" t="s">
        <v>23</v>
      </c>
      <c r="Q232" s="71" t="s">
        <v>23</v>
      </c>
      <c r="R232" s="72" t="s">
        <v>222</v>
      </c>
      <c r="S232" s="73" t="s">
        <v>59</v>
      </c>
      <c r="T232" s="74"/>
      <c r="U232" s="74"/>
      <c r="V232" s="75">
        <f>V233+V234+V235</f>
        <v>789.3</v>
      </c>
      <c r="W232" s="74"/>
      <c r="X232" s="74"/>
      <c r="Y232" s="74"/>
      <c r="Z232" s="75">
        <f>V232</f>
        <v>789.3</v>
      </c>
      <c r="AA232" s="73">
        <v>2017</v>
      </c>
      <c r="AB232" s="48"/>
      <c r="AC232" s="42"/>
      <c r="AD232" s="42"/>
      <c r="AE232" s="43"/>
      <c r="AF232" s="43"/>
    </row>
    <row r="233" spans="1:32" s="65" customFormat="1" ht="45" x14ac:dyDescent="0.25">
      <c r="A233" s="71" t="s">
        <v>23</v>
      </c>
      <c r="B233" s="71" t="s">
        <v>23</v>
      </c>
      <c r="C233" s="71" t="s">
        <v>33</v>
      </c>
      <c r="D233" s="72">
        <v>0</v>
      </c>
      <c r="E233" s="72">
        <v>4</v>
      </c>
      <c r="F233" s="72">
        <v>0</v>
      </c>
      <c r="G233" s="72">
        <v>9</v>
      </c>
      <c r="H233" s="71" t="s">
        <v>23</v>
      </c>
      <c r="I233" s="71" t="s">
        <v>31</v>
      </c>
      <c r="J233" s="71" t="s">
        <v>24</v>
      </c>
      <c r="K233" s="71" t="s">
        <v>23</v>
      </c>
      <c r="L233" s="71" t="s">
        <v>33</v>
      </c>
      <c r="M233" s="71" t="s">
        <v>180</v>
      </c>
      <c r="N233" s="71" t="s">
        <v>23</v>
      </c>
      <c r="O233" s="71" t="s">
        <v>33</v>
      </c>
      <c r="P233" s="71" t="s">
        <v>34</v>
      </c>
      <c r="Q233" s="71" t="s">
        <v>208</v>
      </c>
      <c r="R233" s="72" t="s">
        <v>222</v>
      </c>
      <c r="S233" s="73" t="s">
        <v>59</v>
      </c>
      <c r="T233" s="74"/>
      <c r="U233" s="74"/>
      <c r="V233" s="74">
        <v>394.6</v>
      </c>
      <c r="W233" s="74"/>
      <c r="X233" s="74"/>
      <c r="Y233" s="74"/>
      <c r="Z233" s="75">
        <f t="shared" ref="Z233:Z235" si="51">V233</f>
        <v>394.6</v>
      </c>
      <c r="AA233" s="73">
        <v>2017</v>
      </c>
      <c r="AB233" s="48"/>
      <c r="AC233" s="42"/>
      <c r="AD233" s="42"/>
      <c r="AE233" s="43"/>
      <c r="AF233" s="43"/>
    </row>
    <row r="234" spans="1:32" s="65" customFormat="1" ht="45" x14ac:dyDescent="0.25">
      <c r="A234" s="71" t="s">
        <v>23</v>
      </c>
      <c r="B234" s="71" t="s">
        <v>23</v>
      </c>
      <c r="C234" s="71" t="s">
        <v>33</v>
      </c>
      <c r="D234" s="72">
        <v>0</v>
      </c>
      <c r="E234" s="72">
        <v>4</v>
      </c>
      <c r="F234" s="72">
        <v>0</v>
      </c>
      <c r="G234" s="72">
        <v>9</v>
      </c>
      <c r="H234" s="71" t="s">
        <v>23</v>
      </c>
      <c r="I234" s="71" t="s">
        <v>31</v>
      </c>
      <c r="J234" s="71" t="s">
        <v>24</v>
      </c>
      <c r="K234" s="71" t="s">
        <v>23</v>
      </c>
      <c r="L234" s="71" t="s">
        <v>33</v>
      </c>
      <c r="M234" s="71" t="s">
        <v>180</v>
      </c>
      <c r="N234" s="71" t="s">
        <v>23</v>
      </c>
      <c r="O234" s="71" t="s">
        <v>33</v>
      </c>
      <c r="P234" s="71" t="s">
        <v>34</v>
      </c>
      <c r="Q234" s="71" t="s">
        <v>215</v>
      </c>
      <c r="R234" s="72" t="s">
        <v>222</v>
      </c>
      <c r="S234" s="73" t="s">
        <v>59</v>
      </c>
      <c r="T234" s="74"/>
      <c r="U234" s="74"/>
      <c r="V234" s="74">
        <v>79</v>
      </c>
      <c r="W234" s="74"/>
      <c r="X234" s="74"/>
      <c r="Y234" s="74"/>
      <c r="Z234" s="75">
        <f t="shared" si="51"/>
        <v>79</v>
      </c>
      <c r="AA234" s="73">
        <v>2017</v>
      </c>
      <c r="AB234" s="48"/>
      <c r="AC234" s="42"/>
      <c r="AD234" s="42"/>
      <c r="AE234" s="43"/>
      <c r="AF234" s="43"/>
    </row>
    <row r="235" spans="1:32" s="65" customFormat="1" ht="45" x14ac:dyDescent="0.25">
      <c r="A235" s="71" t="s">
        <v>23</v>
      </c>
      <c r="B235" s="71" t="s">
        <v>23</v>
      </c>
      <c r="C235" s="71" t="s">
        <v>33</v>
      </c>
      <c r="D235" s="72">
        <v>0</v>
      </c>
      <c r="E235" s="72">
        <v>4</v>
      </c>
      <c r="F235" s="72">
        <v>0</v>
      </c>
      <c r="G235" s="72">
        <v>9</v>
      </c>
      <c r="H235" s="71" t="s">
        <v>23</v>
      </c>
      <c r="I235" s="71" t="s">
        <v>31</v>
      </c>
      <c r="J235" s="71" t="s">
        <v>24</v>
      </c>
      <c r="K235" s="71" t="s">
        <v>23</v>
      </c>
      <c r="L235" s="71" t="s">
        <v>33</v>
      </c>
      <c r="M235" s="71" t="s">
        <v>180</v>
      </c>
      <c r="N235" s="71" t="s">
        <v>23</v>
      </c>
      <c r="O235" s="71" t="s">
        <v>33</v>
      </c>
      <c r="P235" s="71" t="s">
        <v>34</v>
      </c>
      <c r="Q235" s="71" t="s">
        <v>216</v>
      </c>
      <c r="R235" s="72" t="s">
        <v>222</v>
      </c>
      <c r="S235" s="73" t="s">
        <v>59</v>
      </c>
      <c r="T235" s="74"/>
      <c r="U235" s="74"/>
      <c r="V235" s="74">
        <v>315.7</v>
      </c>
      <c r="W235" s="74"/>
      <c r="X235" s="74"/>
      <c r="Y235" s="74"/>
      <c r="Z235" s="75">
        <f t="shared" si="51"/>
        <v>315.7</v>
      </c>
      <c r="AA235" s="73">
        <v>2017</v>
      </c>
      <c r="AB235" s="48"/>
      <c r="AC235" s="42"/>
      <c r="AD235" s="42"/>
      <c r="AE235" s="43"/>
      <c r="AF235" s="43"/>
    </row>
    <row r="236" spans="1:32" s="65" customFormat="1" ht="30" x14ac:dyDescent="0.25">
      <c r="A236" s="41"/>
      <c r="B236" s="41"/>
      <c r="C236" s="41"/>
      <c r="D236" s="41"/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17" t="s">
        <v>188</v>
      </c>
      <c r="S236" s="15" t="s">
        <v>60</v>
      </c>
      <c r="T236" s="8"/>
      <c r="U236" s="8"/>
      <c r="V236" s="8">
        <v>0.6</v>
      </c>
      <c r="W236" s="8"/>
      <c r="X236" s="8"/>
      <c r="Y236" s="8"/>
      <c r="Z236" s="5">
        <f>V236</f>
        <v>0.6</v>
      </c>
      <c r="AA236" s="15">
        <v>2017</v>
      </c>
      <c r="AB236" s="48"/>
      <c r="AC236" s="42"/>
      <c r="AD236" s="42"/>
      <c r="AE236" s="43"/>
      <c r="AF236" s="43"/>
    </row>
    <row r="237" spans="1:32" s="65" customFormat="1" ht="45" x14ac:dyDescent="0.25">
      <c r="A237" s="71" t="s">
        <v>23</v>
      </c>
      <c r="B237" s="71" t="s">
        <v>23</v>
      </c>
      <c r="C237" s="71" t="s">
        <v>33</v>
      </c>
      <c r="D237" s="72">
        <v>0</v>
      </c>
      <c r="E237" s="72">
        <v>4</v>
      </c>
      <c r="F237" s="72">
        <v>0</v>
      </c>
      <c r="G237" s="72">
        <v>9</v>
      </c>
      <c r="H237" s="71" t="s">
        <v>23</v>
      </c>
      <c r="I237" s="71" t="s">
        <v>31</v>
      </c>
      <c r="J237" s="71" t="s">
        <v>24</v>
      </c>
      <c r="K237" s="71" t="s">
        <v>23</v>
      </c>
      <c r="L237" s="71" t="s">
        <v>23</v>
      </c>
      <c r="M237" s="71" t="s">
        <v>23</v>
      </c>
      <c r="N237" s="71" t="s">
        <v>23</v>
      </c>
      <c r="O237" s="71" t="s">
        <v>23</v>
      </c>
      <c r="P237" s="71" t="s">
        <v>23</v>
      </c>
      <c r="Q237" s="71" t="s">
        <v>23</v>
      </c>
      <c r="R237" s="72" t="s">
        <v>223</v>
      </c>
      <c r="S237" s="73" t="s">
        <v>59</v>
      </c>
      <c r="T237" s="74"/>
      <c r="U237" s="74"/>
      <c r="V237" s="75">
        <f>V238+V239+V240</f>
        <v>997.4</v>
      </c>
      <c r="W237" s="74"/>
      <c r="X237" s="74"/>
      <c r="Y237" s="74"/>
      <c r="Z237" s="75">
        <f>V237</f>
        <v>997.4</v>
      </c>
      <c r="AA237" s="73">
        <v>2017</v>
      </c>
      <c r="AB237" s="48"/>
      <c r="AC237" s="42"/>
      <c r="AD237" s="42"/>
      <c r="AE237" s="43"/>
      <c r="AF237" s="43"/>
    </row>
    <row r="238" spans="1:32" s="65" customFormat="1" ht="45" x14ac:dyDescent="0.25">
      <c r="A238" s="71" t="s">
        <v>23</v>
      </c>
      <c r="B238" s="71" t="s">
        <v>23</v>
      </c>
      <c r="C238" s="71" t="s">
        <v>33</v>
      </c>
      <c r="D238" s="72">
        <v>0</v>
      </c>
      <c r="E238" s="72">
        <v>4</v>
      </c>
      <c r="F238" s="72">
        <v>0</v>
      </c>
      <c r="G238" s="72">
        <v>9</v>
      </c>
      <c r="H238" s="71" t="s">
        <v>23</v>
      </c>
      <c r="I238" s="71" t="s">
        <v>31</v>
      </c>
      <c r="J238" s="71" t="s">
        <v>24</v>
      </c>
      <c r="K238" s="71" t="s">
        <v>23</v>
      </c>
      <c r="L238" s="71" t="s">
        <v>33</v>
      </c>
      <c r="M238" s="71" t="s">
        <v>180</v>
      </c>
      <c r="N238" s="71" t="s">
        <v>23</v>
      </c>
      <c r="O238" s="71" t="s">
        <v>33</v>
      </c>
      <c r="P238" s="71" t="s">
        <v>34</v>
      </c>
      <c r="Q238" s="71" t="s">
        <v>208</v>
      </c>
      <c r="R238" s="72" t="s">
        <v>223</v>
      </c>
      <c r="S238" s="73" t="s">
        <v>59</v>
      </c>
      <c r="T238" s="74"/>
      <c r="U238" s="74"/>
      <c r="V238" s="74">
        <v>498.7</v>
      </c>
      <c r="W238" s="74"/>
      <c r="X238" s="74"/>
      <c r="Y238" s="74"/>
      <c r="Z238" s="75">
        <f t="shared" ref="Z238:Z240" si="52">V238</f>
        <v>498.7</v>
      </c>
      <c r="AA238" s="73">
        <v>2017</v>
      </c>
      <c r="AB238" s="48"/>
      <c r="AC238" s="42"/>
      <c r="AD238" s="42"/>
      <c r="AE238" s="43"/>
      <c r="AF238" s="43"/>
    </row>
    <row r="239" spans="1:32" s="65" customFormat="1" ht="45" x14ac:dyDescent="0.25">
      <c r="A239" s="71" t="s">
        <v>23</v>
      </c>
      <c r="B239" s="71" t="s">
        <v>23</v>
      </c>
      <c r="C239" s="71" t="s">
        <v>33</v>
      </c>
      <c r="D239" s="72">
        <v>0</v>
      </c>
      <c r="E239" s="72">
        <v>4</v>
      </c>
      <c r="F239" s="72">
        <v>0</v>
      </c>
      <c r="G239" s="72">
        <v>9</v>
      </c>
      <c r="H239" s="71" t="s">
        <v>23</v>
      </c>
      <c r="I239" s="71" t="s">
        <v>31</v>
      </c>
      <c r="J239" s="71" t="s">
        <v>24</v>
      </c>
      <c r="K239" s="71" t="s">
        <v>23</v>
      </c>
      <c r="L239" s="71" t="s">
        <v>33</v>
      </c>
      <c r="M239" s="71" t="s">
        <v>180</v>
      </c>
      <c r="N239" s="71" t="s">
        <v>23</v>
      </c>
      <c r="O239" s="71" t="s">
        <v>33</v>
      </c>
      <c r="P239" s="71" t="s">
        <v>34</v>
      </c>
      <c r="Q239" s="71" t="s">
        <v>215</v>
      </c>
      <c r="R239" s="72" t="s">
        <v>223</v>
      </c>
      <c r="S239" s="73" t="s">
        <v>59</v>
      </c>
      <c r="T239" s="74"/>
      <c r="U239" s="74"/>
      <c r="V239" s="74">
        <v>99.8</v>
      </c>
      <c r="W239" s="74"/>
      <c r="X239" s="74"/>
      <c r="Y239" s="74"/>
      <c r="Z239" s="75">
        <f t="shared" si="52"/>
        <v>99.8</v>
      </c>
      <c r="AA239" s="73">
        <v>2017</v>
      </c>
      <c r="AB239" s="48"/>
      <c r="AC239" s="42"/>
      <c r="AD239" s="42"/>
      <c r="AE239" s="43"/>
      <c r="AF239" s="43"/>
    </row>
    <row r="240" spans="1:32" s="65" customFormat="1" ht="45" x14ac:dyDescent="0.25">
      <c r="A240" s="71" t="s">
        <v>23</v>
      </c>
      <c r="B240" s="71" t="s">
        <v>23</v>
      </c>
      <c r="C240" s="71" t="s">
        <v>33</v>
      </c>
      <c r="D240" s="72">
        <v>0</v>
      </c>
      <c r="E240" s="72">
        <v>4</v>
      </c>
      <c r="F240" s="72">
        <v>0</v>
      </c>
      <c r="G240" s="72">
        <v>9</v>
      </c>
      <c r="H240" s="71" t="s">
        <v>23</v>
      </c>
      <c r="I240" s="71" t="s">
        <v>31</v>
      </c>
      <c r="J240" s="71" t="s">
        <v>24</v>
      </c>
      <c r="K240" s="71" t="s">
        <v>23</v>
      </c>
      <c r="L240" s="71" t="s">
        <v>33</v>
      </c>
      <c r="M240" s="71" t="s">
        <v>180</v>
      </c>
      <c r="N240" s="71" t="s">
        <v>23</v>
      </c>
      <c r="O240" s="71" t="s">
        <v>33</v>
      </c>
      <c r="P240" s="71" t="s">
        <v>34</v>
      </c>
      <c r="Q240" s="71" t="s">
        <v>216</v>
      </c>
      <c r="R240" s="72" t="s">
        <v>223</v>
      </c>
      <c r="S240" s="73" t="s">
        <v>59</v>
      </c>
      <c r="T240" s="74"/>
      <c r="U240" s="74"/>
      <c r="V240" s="74">
        <v>398.9</v>
      </c>
      <c r="W240" s="74"/>
      <c r="X240" s="74"/>
      <c r="Y240" s="74"/>
      <c r="Z240" s="75">
        <f t="shared" si="52"/>
        <v>398.9</v>
      </c>
      <c r="AA240" s="73">
        <v>2017</v>
      </c>
      <c r="AB240" s="48"/>
      <c r="AC240" s="42"/>
      <c r="AD240" s="42"/>
      <c r="AE240" s="43"/>
      <c r="AF240" s="43"/>
    </row>
    <row r="241" spans="1:32" s="65" customFormat="1" ht="60" x14ac:dyDescent="0.25">
      <c r="A241" s="41"/>
      <c r="B241" s="41"/>
      <c r="C241" s="41"/>
      <c r="D241" s="41"/>
      <c r="E241" s="41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17" t="s">
        <v>233</v>
      </c>
      <c r="S241" s="15" t="s">
        <v>60</v>
      </c>
      <c r="T241" s="8"/>
      <c r="U241" s="8"/>
      <c r="V241" s="8">
        <v>0.7</v>
      </c>
      <c r="W241" s="8"/>
      <c r="X241" s="8"/>
      <c r="Y241" s="8"/>
      <c r="Z241" s="5">
        <f>V241</f>
        <v>0.7</v>
      </c>
      <c r="AA241" s="15">
        <v>2017</v>
      </c>
      <c r="AB241" s="48"/>
      <c r="AC241" s="42"/>
      <c r="AD241" s="42"/>
      <c r="AE241" s="43"/>
      <c r="AF241" s="43"/>
    </row>
    <row r="242" spans="1:32" s="65" customFormat="1" ht="45" x14ac:dyDescent="0.25">
      <c r="A242" s="71" t="s">
        <v>23</v>
      </c>
      <c r="B242" s="71" t="s">
        <v>23</v>
      </c>
      <c r="C242" s="71" t="s">
        <v>30</v>
      </c>
      <c r="D242" s="72">
        <v>0</v>
      </c>
      <c r="E242" s="72">
        <v>4</v>
      </c>
      <c r="F242" s="72">
        <v>0</v>
      </c>
      <c r="G242" s="72">
        <v>9</v>
      </c>
      <c r="H242" s="71" t="s">
        <v>23</v>
      </c>
      <c r="I242" s="71" t="s">
        <v>31</v>
      </c>
      <c r="J242" s="71" t="s">
        <v>24</v>
      </c>
      <c r="K242" s="71" t="s">
        <v>23</v>
      </c>
      <c r="L242" s="71" t="s">
        <v>23</v>
      </c>
      <c r="M242" s="71" t="s">
        <v>23</v>
      </c>
      <c r="N242" s="71" t="s">
        <v>23</v>
      </c>
      <c r="O242" s="71" t="s">
        <v>23</v>
      </c>
      <c r="P242" s="71" t="s">
        <v>23</v>
      </c>
      <c r="Q242" s="71" t="s">
        <v>23</v>
      </c>
      <c r="R242" s="72" t="s">
        <v>224</v>
      </c>
      <c r="S242" s="73" t="s">
        <v>59</v>
      </c>
      <c r="T242" s="74"/>
      <c r="U242" s="74"/>
      <c r="V242" s="75">
        <f>V243+V244+V245+V246</f>
        <v>865.30000000000007</v>
      </c>
      <c r="W242" s="74"/>
      <c r="X242" s="74"/>
      <c r="Y242" s="74"/>
      <c r="Z242" s="75">
        <f>V242</f>
        <v>865.30000000000007</v>
      </c>
      <c r="AA242" s="73">
        <v>2017</v>
      </c>
      <c r="AB242" s="48"/>
      <c r="AC242" s="42"/>
      <c r="AD242" s="42"/>
      <c r="AE242" s="43"/>
      <c r="AF242" s="43"/>
    </row>
    <row r="243" spans="1:32" s="65" customFormat="1" ht="45" x14ac:dyDescent="0.25">
      <c r="A243" s="71" t="s">
        <v>23</v>
      </c>
      <c r="B243" s="71" t="s">
        <v>23</v>
      </c>
      <c r="C243" s="71" t="s">
        <v>30</v>
      </c>
      <c r="D243" s="72">
        <v>0</v>
      </c>
      <c r="E243" s="72">
        <v>4</v>
      </c>
      <c r="F243" s="72">
        <v>0</v>
      </c>
      <c r="G243" s="72">
        <v>9</v>
      </c>
      <c r="H243" s="71" t="s">
        <v>23</v>
      </c>
      <c r="I243" s="71" t="s">
        <v>31</v>
      </c>
      <c r="J243" s="71" t="s">
        <v>24</v>
      </c>
      <c r="K243" s="71" t="s">
        <v>23</v>
      </c>
      <c r="L243" s="71" t="s">
        <v>33</v>
      </c>
      <c r="M243" s="71" t="s">
        <v>180</v>
      </c>
      <c r="N243" s="71" t="s">
        <v>23</v>
      </c>
      <c r="O243" s="71" t="s">
        <v>33</v>
      </c>
      <c r="P243" s="71" t="s">
        <v>34</v>
      </c>
      <c r="Q243" s="71" t="s">
        <v>208</v>
      </c>
      <c r="R243" s="72" t="s">
        <v>224</v>
      </c>
      <c r="S243" s="73" t="s">
        <v>59</v>
      </c>
      <c r="T243" s="74"/>
      <c r="U243" s="74"/>
      <c r="V243" s="74">
        <v>194.2</v>
      </c>
      <c r="W243" s="74"/>
      <c r="X243" s="74"/>
      <c r="Y243" s="74"/>
      <c r="Z243" s="75">
        <f t="shared" ref="Z243:Z247" si="53">V243</f>
        <v>194.2</v>
      </c>
      <c r="AA243" s="73">
        <v>2017</v>
      </c>
      <c r="AB243" s="48"/>
      <c r="AC243" s="42"/>
      <c r="AD243" s="42"/>
      <c r="AE243" s="43"/>
      <c r="AF243" s="43"/>
    </row>
    <row r="244" spans="1:32" s="65" customFormat="1" ht="45" x14ac:dyDescent="0.25">
      <c r="A244" s="71" t="s">
        <v>23</v>
      </c>
      <c r="B244" s="71" t="s">
        <v>23</v>
      </c>
      <c r="C244" s="71" t="s">
        <v>30</v>
      </c>
      <c r="D244" s="72">
        <v>0</v>
      </c>
      <c r="E244" s="72">
        <v>4</v>
      </c>
      <c r="F244" s="72">
        <v>0</v>
      </c>
      <c r="G244" s="72">
        <v>9</v>
      </c>
      <c r="H244" s="71" t="s">
        <v>23</v>
      </c>
      <c r="I244" s="71" t="s">
        <v>31</v>
      </c>
      <c r="J244" s="71" t="s">
        <v>24</v>
      </c>
      <c r="K244" s="71" t="s">
        <v>23</v>
      </c>
      <c r="L244" s="71" t="s">
        <v>33</v>
      </c>
      <c r="M244" s="71" t="s">
        <v>180</v>
      </c>
      <c r="N244" s="71" t="s">
        <v>23</v>
      </c>
      <c r="O244" s="71" t="s">
        <v>33</v>
      </c>
      <c r="P244" s="71" t="s">
        <v>34</v>
      </c>
      <c r="Q244" s="71" t="s">
        <v>215</v>
      </c>
      <c r="R244" s="72" t="s">
        <v>224</v>
      </c>
      <c r="S244" s="73" t="s">
        <v>59</v>
      </c>
      <c r="T244" s="74"/>
      <c r="U244" s="74"/>
      <c r="V244" s="74">
        <v>285</v>
      </c>
      <c r="W244" s="74"/>
      <c r="X244" s="74"/>
      <c r="Y244" s="74"/>
      <c r="Z244" s="75">
        <f t="shared" si="53"/>
        <v>285</v>
      </c>
      <c r="AA244" s="73">
        <v>2017</v>
      </c>
      <c r="AB244" s="48"/>
      <c r="AC244" s="42"/>
      <c r="AD244" s="42"/>
      <c r="AE244" s="43"/>
      <c r="AF244" s="43"/>
    </row>
    <row r="245" spans="1:32" s="65" customFormat="1" ht="45" x14ac:dyDescent="0.25">
      <c r="A245" s="71" t="s">
        <v>23</v>
      </c>
      <c r="B245" s="71" t="s">
        <v>23</v>
      </c>
      <c r="C245" s="71" t="s">
        <v>30</v>
      </c>
      <c r="D245" s="72">
        <v>0</v>
      </c>
      <c r="E245" s="72">
        <v>4</v>
      </c>
      <c r="F245" s="72">
        <v>0</v>
      </c>
      <c r="G245" s="72">
        <v>9</v>
      </c>
      <c r="H245" s="71" t="s">
        <v>23</v>
      </c>
      <c r="I245" s="71" t="s">
        <v>31</v>
      </c>
      <c r="J245" s="71" t="s">
        <v>24</v>
      </c>
      <c r="K245" s="71" t="s">
        <v>23</v>
      </c>
      <c r="L245" s="71" t="s">
        <v>33</v>
      </c>
      <c r="M245" s="71" t="s">
        <v>24</v>
      </c>
      <c r="N245" s="71" t="s">
        <v>23</v>
      </c>
      <c r="O245" s="71" t="s">
        <v>32</v>
      </c>
      <c r="P245" s="71" t="s">
        <v>34</v>
      </c>
      <c r="Q245" s="71" t="s">
        <v>181</v>
      </c>
      <c r="R245" s="72" t="s">
        <v>224</v>
      </c>
      <c r="S245" s="73" t="s">
        <v>59</v>
      </c>
      <c r="T245" s="74"/>
      <c r="U245" s="74"/>
      <c r="V245" s="74">
        <v>40</v>
      </c>
      <c r="W245" s="74"/>
      <c r="X245" s="74"/>
      <c r="Y245" s="74"/>
      <c r="Z245" s="75">
        <f t="shared" si="53"/>
        <v>40</v>
      </c>
      <c r="AA245" s="73">
        <v>2017</v>
      </c>
      <c r="AB245" s="48"/>
      <c r="AC245" s="42"/>
      <c r="AD245" s="42"/>
      <c r="AE245" s="43"/>
      <c r="AF245" s="43"/>
    </row>
    <row r="246" spans="1:32" s="65" customFormat="1" ht="45" x14ac:dyDescent="0.25">
      <c r="A246" s="71" t="s">
        <v>23</v>
      </c>
      <c r="B246" s="71" t="s">
        <v>23</v>
      </c>
      <c r="C246" s="71" t="s">
        <v>30</v>
      </c>
      <c r="D246" s="72">
        <v>0</v>
      </c>
      <c r="E246" s="72">
        <v>4</v>
      </c>
      <c r="F246" s="72">
        <v>0</v>
      </c>
      <c r="G246" s="72">
        <v>9</v>
      </c>
      <c r="H246" s="71" t="s">
        <v>23</v>
      </c>
      <c r="I246" s="71" t="s">
        <v>31</v>
      </c>
      <c r="J246" s="71" t="s">
        <v>24</v>
      </c>
      <c r="K246" s="71" t="s">
        <v>23</v>
      </c>
      <c r="L246" s="71" t="s">
        <v>33</v>
      </c>
      <c r="M246" s="71" t="s">
        <v>180</v>
      </c>
      <c r="N246" s="71" t="s">
        <v>23</v>
      </c>
      <c r="O246" s="71" t="s">
        <v>33</v>
      </c>
      <c r="P246" s="71" t="s">
        <v>34</v>
      </c>
      <c r="Q246" s="71" t="s">
        <v>216</v>
      </c>
      <c r="R246" s="72" t="s">
        <v>224</v>
      </c>
      <c r="S246" s="73" t="s">
        <v>59</v>
      </c>
      <c r="T246" s="74"/>
      <c r="U246" s="74"/>
      <c r="V246" s="74">
        <v>346.1</v>
      </c>
      <c r="W246" s="74"/>
      <c r="X246" s="74"/>
      <c r="Y246" s="74"/>
      <c r="Z246" s="75">
        <f t="shared" si="53"/>
        <v>346.1</v>
      </c>
      <c r="AA246" s="73">
        <v>2017</v>
      </c>
      <c r="AB246" s="48"/>
      <c r="AC246" s="42"/>
      <c r="AD246" s="42"/>
      <c r="AE246" s="43"/>
      <c r="AF246" s="43"/>
    </row>
    <row r="247" spans="1:32" s="65" customFormat="1" ht="60" x14ac:dyDescent="0.25">
      <c r="A247" s="41"/>
      <c r="B247" s="41"/>
      <c r="C247" s="41"/>
      <c r="D247" s="41"/>
      <c r="E247" s="41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17" t="s">
        <v>217</v>
      </c>
      <c r="S247" s="15" t="s">
        <v>60</v>
      </c>
      <c r="T247" s="8"/>
      <c r="U247" s="8"/>
      <c r="V247" s="8">
        <v>0.54</v>
      </c>
      <c r="W247" s="8"/>
      <c r="X247" s="8"/>
      <c r="Y247" s="8"/>
      <c r="Z247" s="5">
        <f t="shared" si="53"/>
        <v>0.54</v>
      </c>
      <c r="AA247" s="15">
        <v>2017</v>
      </c>
      <c r="AB247" s="48"/>
      <c r="AC247" s="42"/>
      <c r="AD247" s="42"/>
      <c r="AE247" s="43"/>
      <c r="AF247" s="43"/>
    </row>
    <row r="248" spans="1:32" s="65" customFormat="1" ht="43.9" customHeight="1" x14ac:dyDescent="0.25">
      <c r="A248" s="71" t="s">
        <v>23</v>
      </c>
      <c r="B248" s="71" t="s">
        <v>23</v>
      </c>
      <c r="C248" s="71" t="s">
        <v>30</v>
      </c>
      <c r="D248" s="72">
        <v>0</v>
      </c>
      <c r="E248" s="72">
        <v>4</v>
      </c>
      <c r="F248" s="72">
        <v>0</v>
      </c>
      <c r="G248" s="72">
        <v>9</v>
      </c>
      <c r="H248" s="71" t="s">
        <v>23</v>
      </c>
      <c r="I248" s="71" t="s">
        <v>31</v>
      </c>
      <c r="J248" s="71" t="s">
        <v>24</v>
      </c>
      <c r="K248" s="71" t="s">
        <v>23</v>
      </c>
      <c r="L248" s="71" t="s">
        <v>23</v>
      </c>
      <c r="M248" s="71" t="s">
        <v>23</v>
      </c>
      <c r="N248" s="71" t="s">
        <v>23</v>
      </c>
      <c r="O248" s="71" t="s">
        <v>23</v>
      </c>
      <c r="P248" s="71" t="s">
        <v>23</v>
      </c>
      <c r="Q248" s="71" t="s">
        <v>23</v>
      </c>
      <c r="R248" s="72" t="s">
        <v>225</v>
      </c>
      <c r="S248" s="73" t="s">
        <v>59</v>
      </c>
      <c r="T248" s="74"/>
      <c r="U248" s="74"/>
      <c r="V248" s="75">
        <f>V249+V250+V251+V252</f>
        <v>991.8</v>
      </c>
      <c r="W248" s="74"/>
      <c r="X248" s="74"/>
      <c r="Y248" s="74"/>
      <c r="Z248" s="75">
        <f>V248</f>
        <v>991.8</v>
      </c>
      <c r="AA248" s="73">
        <v>2017</v>
      </c>
      <c r="AB248" s="48"/>
      <c r="AC248" s="42"/>
      <c r="AD248" s="42"/>
      <c r="AE248" s="43"/>
      <c r="AF248" s="43"/>
    </row>
    <row r="249" spans="1:32" s="65" customFormat="1" ht="45" x14ac:dyDescent="0.25">
      <c r="A249" s="71" t="s">
        <v>23</v>
      </c>
      <c r="B249" s="71" t="s">
        <v>23</v>
      </c>
      <c r="C249" s="71" t="s">
        <v>30</v>
      </c>
      <c r="D249" s="72">
        <v>0</v>
      </c>
      <c r="E249" s="72">
        <v>4</v>
      </c>
      <c r="F249" s="72">
        <v>0</v>
      </c>
      <c r="G249" s="72">
        <v>9</v>
      </c>
      <c r="H249" s="71" t="s">
        <v>23</v>
      </c>
      <c r="I249" s="71" t="s">
        <v>31</v>
      </c>
      <c r="J249" s="71" t="s">
        <v>24</v>
      </c>
      <c r="K249" s="71" t="s">
        <v>23</v>
      </c>
      <c r="L249" s="71" t="s">
        <v>33</v>
      </c>
      <c r="M249" s="71" t="s">
        <v>180</v>
      </c>
      <c r="N249" s="71" t="s">
        <v>23</v>
      </c>
      <c r="O249" s="71" t="s">
        <v>33</v>
      </c>
      <c r="P249" s="71" t="s">
        <v>34</v>
      </c>
      <c r="Q249" s="71" t="s">
        <v>208</v>
      </c>
      <c r="R249" s="72" t="s">
        <v>225</v>
      </c>
      <c r="S249" s="73" t="s">
        <v>59</v>
      </c>
      <c r="T249" s="74"/>
      <c r="U249" s="74"/>
      <c r="V249" s="74">
        <v>247.6</v>
      </c>
      <c r="W249" s="74"/>
      <c r="X249" s="74"/>
      <c r="Y249" s="74"/>
      <c r="Z249" s="75">
        <f t="shared" ref="Z249:Z253" si="54">V249</f>
        <v>247.6</v>
      </c>
      <c r="AA249" s="73">
        <v>2017</v>
      </c>
      <c r="AB249" s="48"/>
      <c r="AC249" s="42"/>
      <c r="AD249" s="42"/>
      <c r="AE249" s="43"/>
      <c r="AF249" s="43"/>
    </row>
    <row r="250" spans="1:32" s="65" customFormat="1" ht="45" x14ac:dyDescent="0.25">
      <c r="A250" s="71" t="s">
        <v>23</v>
      </c>
      <c r="B250" s="71" t="s">
        <v>23</v>
      </c>
      <c r="C250" s="71" t="s">
        <v>30</v>
      </c>
      <c r="D250" s="72">
        <v>0</v>
      </c>
      <c r="E250" s="72">
        <v>4</v>
      </c>
      <c r="F250" s="72">
        <v>0</v>
      </c>
      <c r="G250" s="72">
        <v>9</v>
      </c>
      <c r="H250" s="71" t="s">
        <v>23</v>
      </c>
      <c r="I250" s="71" t="s">
        <v>31</v>
      </c>
      <c r="J250" s="71" t="s">
        <v>24</v>
      </c>
      <c r="K250" s="71" t="s">
        <v>23</v>
      </c>
      <c r="L250" s="71" t="s">
        <v>33</v>
      </c>
      <c r="M250" s="71" t="s">
        <v>180</v>
      </c>
      <c r="N250" s="71" t="s">
        <v>23</v>
      </c>
      <c r="O250" s="71" t="s">
        <v>33</v>
      </c>
      <c r="P250" s="71" t="s">
        <v>34</v>
      </c>
      <c r="Q250" s="71" t="s">
        <v>215</v>
      </c>
      <c r="R250" s="72" t="s">
        <v>225</v>
      </c>
      <c r="S250" s="73" t="s">
        <v>59</v>
      </c>
      <c r="T250" s="74"/>
      <c r="U250" s="74"/>
      <c r="V250" s="74">
        <v>307.5</v>
      </c>
      <c r="W250" s="74"/>
      <c r="X250" s="74"/>
      <c r="Y250" s="74"/>
      <c r="Z250" s="75">
        <f t="shared" si="54"/>
        <v>307.5</v>
      </c>
      <c r="AA250" s="73">
        <v>2017</v>
      </c>
      <c r="AB250" s="48"/>
      <c r="AC250" s="42"/>
      <c r="AD250" s="42"/>
      <c r="AE250" s="43"/>
      <c r="AF250" s="43"/>
    </row>
    <row r="251" spans="1:32" s="65" customFormat="1" ht="45" x14ac:dyDescent="0.25">
      <c r="A251" s="71" t="s">
        <v>23</v>
      </c>
      <c r="B251" s="71" t="s">
        <v>23</v>
      </c>
      <c r="C251" s="71" t="s">
        <v>30</v>
      </c>
      <c r="D251" s="72">
        <v>0</v>
      </c>
      <c r="E251" s="72">
        <v>4</v>
      </c>
      <c r="F251" s="72">
        <v>0</v>
      </c>
      <c r="G251" s="72">
        <v>9</v>
      </c>
      <c r="H251" s="71" t="s">
        <v>23</v>
      </c>
      <c r="I251" s="71" t="s">
        <v>31</v>
      </c>
      <c r="J251" s="71" t="s">
        <v>24</v>
      </c>
      <c r="K251" s="71" t="s">
        <v>23</v>
      </c>
      <c r="L251" s="71" t="s">
        <v>33</v>
      </c>
      <c r="M251" s="71" t="s">
        <v>24</v>
      </c>
      <c r="N251" s="71" t="s">
        <v>23</v>
      </c>
      <c r="O251" s="71" t="s">
        <v>32</v>
      </c>
      <c r="P251" s="71" t="s">
        <v>34</v>
      </c>
      <c r="Q251" s="71" t="s">
        <v>181</v>
      </c>
      <c r="R251" s="72" t="s">
        <v>225</v>
      </c>
      <c r="S251" s="73" t="s">
        <v>59</v>
      </c>
      <c r="T251" s="74"/>
      <c r="U251" s="74"/>
      <c r="V251" s="74">
        <v>40</v>
      </c>
      <c r="W251" s="74"/>
      <c r="X251" s="74"/>
      <c r="Y251" s="74"/>
      <c r="Z251" s="75">
        <f t="shared" si="54"/>
        <v>40</v>
      </c>
      <c r="AA251" s="73">
        <v>2017</v>
      </c>
      <c r="AB251" s="48"/>
      <c r="AC251" s="42"/>
      <c r="AD251" s="42"/>
      <c r="AE251" s="43"/>
      <c r="AF251" s="43"/>
    </row>
    <row r="252" spans="1:32" s="65" customFormat="1" ht="45" x14ac:dyDescent="0.25">
      <c r="A252" s="71" t="s">
        <v>23</v>
      </c>
      <c r="B252" s="71" t="s">
        <v>23</v>
      </c>
      <c r="C252" s="71" t="s">
        <v>30</v>
      </c>
      <c r="D252" s="72">
        <v>0</v>
      </c>
      <c r="E252" s="72">
        <v>4</v>
      </c>
      <c r="F252" s="72">
        <v>0</v>
      </c>
      <c r="G252" s="72">
        <v>9</v>
      </c>
      <c r="H252" s="71" t="s">
        <v>23</v>
      </c>
      <c r="I252" s="71" t="s">
        <v>31</v>
      </c>
      <c r="J252" s="71" t="s">
        <v>24</v>
      </c>
      <c r="K252" s="71" t="s">
        <v>23</v>
      </c>
      <c r="L252" s="71" t="s">
        <v>33</v>
      </c>
      <c r="M252" s="71" t="s">
        <v>180</v>
      </c>
      <c r="N252" s="71" t="s">
        <v>23</v>
      </c>
      <c r="O252" s="71" t="s">
        <v>33</v>
      </c>
      <c r="P252" s="71" t="s">
        <v>34</v>
      </c>
      <c r="Q252" s="71" t="s">
        <v>216</v>
      </c>
      <c r="R252" s="72" t="s">
        <v>225</v>
      </c>
      <c r="S252" s="73" t="s">
        <v>59</v>
      </c>
      <c r="T252" s="74"/>
      <c r="U252" s="74"/>
      <c r="V252" s="74">
        <v>396.7</v>
      </c>
      <c r="W252" s="74"/>
      <c r="X252" s="74"/>
      <c r="Y252" s="74"/>
      <c r="Z252" s="75">
        <f t="shared" si="54"/>
        <v>396.7</v>
      </c>
      <c r="AA252" s="73">
        <v>2017</v>
      </c>
      <c r="AB252" s="48"/>
      <c r="AC252" s="42"/>
      <c r="AD252" s="42"/>
      <c r="AE252" s="43"/>
      <c r="AF252" s="43"/>
    </row>
    <row r="253" spans="1:32" s="65" customFormat="1" ht="60" x14ac:dyDescent="0.25">
      <c r="A253" s="41"/>
      <c r="B253" s="41"/>
      <c r="C253" s="41"/>
      <c r="D253" s="41"/>
      <c r="E253" s="41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17" t="s">
        <v>217</v>
      </c>
      <c r="S253" s="15" t="s">
        <v>60</v>
      </c>
      <c r="T253" s="8"/>
      <c r="U253" s="8"/>
      <c r="V253" s="8">
        <v>0.6</v>
      </c>
      <c r="W253" s="8"/>
      <c r="X253" s="8"/>
      <c r="Y253" s="8"/>
      <c r="Z253" s="5">
        <f t="shared" si="54"/>
        <v>0.6</v>
      </c>
      <c r="AA253" s="15">
        <v>2017</v>
      </c>
      <c r="AB253" s="48"/>
      <c r="AC253" s="42"/>
      <c r="AD253" s="42"/>
      <c r="AE253" s="43"/>
      <c r="AF253" s="43"/>
    </row>
    <row r="254" spans="1:32" s="65" customFormat="1" ht="45" x14ac:dyDescent="0.25">
      <c r="A254" s="71" t="s">
        <v>23</v>
      </c>
      <c r="B254" s="71" t="s">
        <v>23</v>
      </c>
      <c r="C254" s="71" t="s">
        <v>30</v>
      </c>
      <c r="D254" s="72">
        <v>0</v>
      </c>
      <c r="E254" s="72">
        <v>4</v>
      </c>
      <c r="F254" s="72">
        <v>0</v>
      </c>
      <c r="G254" s="72">
        <v>9</v>
      </c>
      <c r="H254" s="71" t="s">
        <v>23</v>
      </c>
      <c r="I254" s="71" t="s">
        <v>31</v>
      </c>
      <c r="J254" s="71" t="s">
        <v>24</v>
      </c>
      <c r="K254" s="71" t="s">
        <v>23</v>
      </c>
      <c r="L254" s="71" t="s">
        <v>23</v>
      </c>
      <c r="M254" s="71" t="s">
        <v>23</v>
      </c>
      <c r="N254" s="71" t="s">
        <v>23</v>
      </c>
      <c r="O254" s="71" t="s">
        <v>23</v>
      </c>
      <c r="P254" s="71" t="s">
        <v>23</v>
      </c>
      <c r="Q254" s="71" t="s">
        <v>23</v>
      </c>
      <c r="R254" s="72" t="s">
        <v>226</v>
      </c>
      <c r="S254" s="73" t="s">
        <v>59</v>
      </c>
      <c r="T254" s="74"/>
      <c r="U254" s="74"/>
      <c r="V254" s="75">
        <f>V255+V256+V257+V258</f>
        <v>750.59999999999991</v>
      </c>
      <c r="W254" s="74"/>
      <c r="X254" s="74"/>
      <c r="Y254" s="74"/>
      <c r="Z254" s="75">
        <f>V254</f>
        <v>750.59999999999991</v>
      </c>
      <c r="AA254" s="73">
        <v>2017</v>
      </c>
      <c r="AB254" s="48"/>
      <c r="AC254" s="42"/>
      <c r="AD254" s="42"/>
      <c r="AE254" s="43"/>
      <c r="AF254" s="43"/>
    </row>
    <row r="255" spans="1:32" s="65" customFormat="1" ht="45" x14ac:dyDescent="0.25">
      <c r="A255" s="71" t="s">
        <v>23</v>
      </c>
      <c r="B255" s="71" t="s">
        <v>23</v>
      </c>
      <c r="C255" s="71" t="s">
        <v>30</v>
      </c>
      <c r="D255" s="72">
        <v>0</v>
      </c>
      <c r="E255" s="72">
        <v>4</v>
      </c>
      <c r="F255" s="72">
        <v>0</v>
      </c>
      <c r="G255" s="72">
        <v>9</v>
      </c>
      <c r="H255" s="71" t="s">
        <v>23</v>
      </c>
      <c r="I255" s="71" t="s">
        <v>31</v>
      </c>
      <c r="J255" s="71" t="s">
        <v>24</v>
      </c>
      <c r="K255" s="71" t="s">
        <v>23</v>
      </c>
      <c r="L255" s="71" t="s">
        <v>33</v>
      </c>
      <c r="M255" s="71" t="s">
        <v>180</v>
      </c>
      <c r="N255" s="71" t="s">
        <v>23</v>
      </c>
      <c r="O255" s="71" t="s">
        <v>33</v>
      </c>
      <c r="P255" s="71" t="s">
        <v>34</v>
      </c>
      <c r="Q255" s="71" t="s">
        <v>208</v>
      </c>
      <c r="R255" s="72" t="s">
        <v>226</v>
      </c>
      <c r="S255" s="73" t="s">
        <v>59</v>
      </c>
      <c r="T255" s="74"/>
      <c r="U255" s="74"/>
      <c r="V255" s="74">
        <v>177.7</v>
      </c>
      <c r="W255" s="74"/>
      <c r="X255" s="74"/>
      <c r="Y255" s="74"/>
      <c r="Z255" s="75">
        <f t="shared" ref="Z255:Z259" si="55">V255</f>
        <v>177.7</v>
      </c>
      <c r="AA255" s="73">
        <v>2017</v>
      </c>
      <c r="AB255" s="48"/>
      <c r="AC255" s="42"/>
      <c r="AD255" s="42"/>
      <c r="AE255" s="43"/>
      <c r="AF255" s="43"/>
    </row>
    <row r="256" spans="1:32" s="65" customFormat="1" ht="45" x14ac:dyDescent="0.25">
      <c r="A256" s="71" t="s">
        <v>23</v>
      </c>
      <c r="B256" s="71" t="s">
        <v>23</v>
      </c>
      <c r="C256" s="71" t="s">
        <v>30</v>
      </c>
      <c r="D256" s="72">
        <v>0</v>
      </c>
      <c r="E256" s="72">
        <v>4</v>
      </c>
      <c r="F256" s="72">
        <v>0</v>
      </c>
      <c r="G256" s="72">
        <v>9</v>
      </c>
      <c r="H256" s="71" t="s">
        <v>23</v>
      </c>
      <c r="I256" s="71" t="s">
        <v>31</v>
      </c>
      <c r="J256" s="71" t="s">
        <v>24</v>
      </c>
      <c r="K256" s="71" t="s">
        <v>23</v>
      </c>
      <c r="L256" s="71" t="s">
        <v>33</v>
      </c>
      <c r="M256" s="71" t="s">
        <v>180</v>
      </c>
      <c r="N256" s="71" t="s">
        <v>23</v>
      </c>
      <c r="O256" s="71" t="s">
        <v>33</v>
      </c>
      <c r="P256" s="71" t="s">
        <v>34</v>
      </c>
      <c r="Q256" s="71" t="s">
        <v>215</v>
      </c>
      <c r="R256" s="72" t="s">
        <v>226</v>
      </c>
      <c r="S256" s="73" t="s">
        <v>59</v>
      </c>
      <c r="T256" s="74"/>
      <c r="U256" s="74"/>
      <c r="V256" s="74">
        <v>232.7</v>
      </c>
      <c r="W256" s="74"/>
      <c r="X256" s="74"/>
      <c r="Y256" s="74"/>
      <c r="Z256" s="75">
        <f t="shared" si="55"/>
        <v>232.7</v>
      </c>
      <c r="AA256" s="73">
        <v>2017</v>
      </c>
      <c r="AB256" s="48"/>
      <c r="AC256" s="42"/>
      <c r="AD256" s="42"/>
      <c r="AE256" s="43"/>
      <c r="AF256" s="43"/>
    </row>
    <row r="257" spans="1:32" s="65" customFormat="1" ht="45" x14ac:dyDescent="0.25">
      <c r="A257" s="71" t="s">
        <v>23</v>
      </c>
      <c r="B257" s="71" t="s">
        <v>23</v>
      </c>
      <c r="C257" s="71" t="s">
        <v>30</v>
      </c>
      <c r="D257" s="72">
        <v>0</v>
      </c>
      <c r="E257" s="72">
        <v>4</v>
      </c>
      <c r="F257" s="72">
        <v>0</v>
      </c>
      <c r="G257" s="72">
        <v>9</v>
      </c>
      <c r="H257" s="71" t="s">
        <v>23</v>
      </c>
      <c r="I257" s="71" t="s">
        <v>31</v>
      </c>
      <c r="J257" s="71" t="s">
        <v>24</v>
      </c>
      <c r="K257" s="71" t="s">
        <v>23</v>
      </c>
      <c r="L257" s="71" t="s">
        <v>33</v>
      </c>
      <c r="M257" s="71" t="s">
        <v>24</v>
      </c>
      <c r="N257" s="71" t="s">
        <v>23</v>
      </c>
      <c r="O257" s="71" t="s">
        <v>32</v>
      </c>
      <c r="P257" s="71" t="s">
        <v>34</v>
      </c>
      <c r="Q257" s="71" t="s">
        <v>181</v>
      </c>
      <c r="R257" s="72" t="s">
        <v>226</v>
      </c>
      <c r="S257" s="73" t="s">
        <v>59</v>
      </c>
      <c r="T257" s="74"/>
      <c r="U257" s="74"/>
      <c r="V257" s="74">
        <v>40</v>
      </c>
      <c r="W257" s="74"/>
      <c r="X257" s="74"/>
      <c r="Y257" s="74"/>
      <c r="Z257" s="75">
        <f t="shared" si="55"/>
        <v>40</v>
      </c>
      <c r="AA257" s="73">
        <v>2017</v>
      </c>
      <c r="AB257" s="48"/>
      <c r="AC257" s="42"/>
      <c r="AD257" s="42"/>
      <c r="AE257" s="43"/>
      <c r="AF257" s="43"/>
    </row>
    <row r="258" spans="1:32" s="65" customFormat="1" ht="45" x14ac:dyDescent="0.25">
      <c r="A258" s="71" t="s">
        <v>23</v>
      </c>
      <c r="B258" s="71" t="s">
        <v>23</v>
      </c>
      <c r="C258" s="71" t="s">
        <v>30</v>
      </c>
      <c r="D258" s="72">
        <v>0</v>
      </c>
      <c r="E258" s="72">
        <v>4</v>
      </c>
      <c r="F258" s="72">
        <v>0</v>
      </c>
      <c r="G258" s="72">
        <v>9</v>
      </c>
      <c r="H258" s="71" t="s">
        <v>23</v>
      </c>
      <c r="I258" s="71" t="s">
        <v>31</v>
      </c>
      <c r="J258" s="71" t="s">
        <v>24</v>
      </c>
      <c r="K258" s="71" t="s">
        <v>23</v>
      </c>
      <c r="L258" s="71" t="s">
        <v>33</v>
      </c>
      <c r="M258" s="71" t="s">
        <v>180</v>
      </c>
      <c r="N258" s="71" t="s">
        <v>23</v>
      </c>
      <c r="O258" s="71" t="s">
        <v>33</v>
      </c>
      <c r="P258" s="71" t="s">
        <v>34</v>
      </c>
      <c r="Q258" s="71" t="s">
        <v>216</v>
      </c>
      <c r="R258" s="72" t="s">
        <v>226</v>
      </c>
      <c r="S258" s="73" t="s">
        <v>59</v>
      </c>
      <c r="T258" s="74"/>
      <c r="U258" s="74"/>
      <c r="V258" s="74">
        <v>300.2</v>
      </c>
      <c r="W258" s="74"/>
      <c r="X258" s="74"/>
      <c r="Y258" s="74"/>
      <c r="Z258" s="75">
        <f t="shared" si="55"/>
        <v>300.2</v>
      </c>
      <c r="AA258" s="73">
        <v>2017</v>
      </c>
      <c r="AB258" s="48"/>
      <c r="AC258" s="42"/>
      <c r="AD258" s="42"/>
      <c r="AE258" s="43"/>
      <c r="AF258" s="43"/>
    </row>
    <row r="259" spans="1:32" s="65" customFormat="1" ht="60" x14ac:dyDescent="0.25">
      <c r="A259" s="41"/>
      <c r="B259" s="41"/>
      <c r="C259" s="41"/>
      <c r="D259" s="41"/>
      <c r="E259" s="41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17" t="s">
        <v>217</v>
      </c>
      <c r="S259" s="15" t="s">
        <v>60</v>
      </c>
      <c r="T259" s="8"/>
      <c r="U259" s="8"/>
      <c r="V259" s="8">
        <v>0.5</v>
      </c>
      <c r="W259" s="8"/>
      <c r="X259" s="8"/>
      <c r="Y259" s="8"/>
      <c r="Z259" s="5">
        <f t="shared" si="55"/>
        <v>0.5</v>
      </c>
      <c r="AA259" s="15">
        <v>2017</v>
      </c>
      <c r="AB259" s="48"/>
      <c r="AC259" s="42"/>
      <c r="AD259" s="42"/>
      <c r="AE259" s="43"/>
      <c r="AF259" s="43"/>
    </row>
    <row r="260" spans="1:32" s="65" customFormat="1" ht="45" x14ac:dyDescent="0.25">
      <c r="A260" s="71" t="s">
        <v>23</v>
      </c>
      <c r="B260" s="71" t="s">
        <v>23</v>
      </c>
      <c r="C260" s="71" t="s">
        <v>30</v>
      </c>
      <c r="D260" s="72">
        <v>0</v>
      </c>
      <c r="E260" s="72">
        <v>4</v>
      </c>
      <c r="F260" s="72">
        <v>0</v>
      </c>
      <c r="G260" s="72">
        <v>9</v>
      </c>
      <c r="H260" s="71" t="s">
        <v>23</v>
      </c>
      <c r="I260" s="71" t="s">
        <v>31</v>
      </c>
      <c r="J260" s="71" t="s">
        <v>24</v>
      </c>
      <c r="K260" s="71" t="s">
        <v>23</v>
      </c>
      <c r="L260" s="71" t="s">
        <v>23</v>
      </c>
      <c r="M260" s="71" t="s">
        <v>23</v>
      </c>
      <c r="N260" s="71" t="s">
        <v>23</v>
      </c>
      <c r="O260" s="71" t="s">
        <v>23</v>
      </c>
      <c r="P260" s="71" t="s">
        <v>23</v>
      </c>
      <c r="Q260" s="71" t="s">
        <v>23</v>
      </c>
      <c r="R260" s="72" t="s">
        <v>227</v>
      </c>
      <c r="S260" s="73" t="s">
        <v>59</v>
      </c>
      <c r="T260" s="74"/>
      <c r="U260" s="74"/>
      <c r="V260" s="75">
        <f>V261+V262+V263</f>
        <v>473.2</v>
      </c>
      <c r="W260" s="74"/>
      <c r="X260" s="74"/>
      <c r="Y260" s="74"/>
      <c r="Z260" s="75">
        <f>V260</f>
        <v>473.2</v>
      </c>
      <c r="AA260" s="73">
        <v>2017</v>
      </c>
      <c r="AB260" s="48"/>
      <c r="AC260" s="42"/>
      <c r="AD260" s="42"/>
      <c r="AE260" s="43"/>
      <c r="AF260" s="43"/>
    </row>
    <row r="261" spans="1:32" s="65" customFormat="1" ht="45" x14ac:dyDescent="0.25">
      <c r="A261" s="71" t="s">
        <v>23</v>
      </c>
      <c r="B261" s="71" t="s">
        <v>23</v>
      </c>
      <c r="C261" s="71" t="s">
        <v>30</v>
      </c>
      <c r="D261" s="72">
        <v>0</v>
      </c>
      <c r="E261" s="72">
        <v>4</v>
      </c>
      <c r="F261" s="72">
        <v>0</v>
      </c>
      <c r="G261" s="72">
        <v>9</v>
      </c>
      <c r="H261" s="71" t="s">
        <v>23</v>
      </c>
      <c r="I261" s="71" t="s">
        <v>31</v>
      </c>
      <c r="J261" s="71" t="s">
        <v>24</v>
      </c>
      <c r="K261" s="71" t="s">
        <v>23</v>
      </c>
      <c r="L261" s="71" t="s">
        <v>33</v>
      </c>
      <c r="M261" s="71" t="s">
        <v>180</v>
      </c>
      <c r="N261" s="71" t="s">
        <v>23</v>
      </c>
      <c r="O261" s="71" t="s">
        <v>33</v>
      </c>
      <c r="P261" s="71" t="s">
        <v>34</v>
      </c>
      <c r="Q261" s="71" t="s">
        <v>208</v>
      </c>
      <c r="R261" s="72" t="s">
        <v>227</v>
      </c>
      <c r="S261" s="73" t="s">
        <v>59</v>
      </c>
      <c r="T261" s="74"/>
      <c r="U261" s="74"/>
      <c r="V261" s="74">
        <v>178.9</v>
      </c>
      <c r="W261" s="74"/>
      <c r="X261" s="74"/>
      <c r="Y261" s="74"/>
      <c r="Z261" s="75">
        <f t="shared" ref="Z261:Z263" si="56">V261</f>
        <v>178.9</v>
      </c>
      <c r="AA261" s="73">
        <v>2017</v>
      </c>
      <c r="AB261" s="48"/>
      <c r="AC261" s="42"/>
      <c r="AD261" s="42"/>
      <c r="AE261" s="43"/>
      <c r="AF261" s="43"/>
    </row>
    <row r="262" spans="1:32" s="65" customFormat="1" ht="45" x14ac:dyDescent="0.25">
      <c r="A262" s="71" t="s">
        <v>23</v>
      </c>
      <c r="B262" s="71" t="s">
        <v>23</v>
      </c>
      <c r="C262" s="71" t="s">
        <v>30</v>
      </c>
      <c r="D262" s="72">
        <v>0</v>
      </c>
      <c r="E262" s="72">
        <v>4</v>
      </c>
      <c r="F262" s="72">
        <v>0</v>
      </c>
      <c r="G262" s="72">
        <v>9</v>
      </c>
      <c r="H262" s="71" t="s">
        <v>23</v>
      </c>
      <c r="I262" s="71" t="s">
        <v>31</v>
      </c>
      <c r="J262" s="71" t="s">
        <v>24</v>
      </c>
      <c r="K262" s="71" t="s">
        <v>23</v>
      </c>
      <c r="L262" s="71" t="s">
        <v>33</v>
      </c>
      <c r="M262" s="71" t="s">
        <v>180</v>
      </c>
      <c r="N262" s="71" t="s">
        <v>23</v>
      </c>
      <c r="O262" s="71" t="s">
        <v>33</v>
      </c>
      <c r="P262" s="71" t="s">
        <v>34</v>
      </c>
      <c r="Q262" s="71" t="s">
        <v>215</v>
      </c>
      <c r="R262" s="72" t="s">
        <v>227</v>
      </c>
      <c r="S262" s="73" t="s">
        <v>59</v>
      </c>
      <c r="T262" s="74"/>
      <c r="U262" s="74"/>
      <c r="V262" s="74">
        <v>105</v>
      </c>
      <c r="W262" s="74"/>
      <c r="X262" s="74"/>
      <c r="Y262" s="74"/>
      <c r="Z262" s="75">
        <f t="shared" si="56"/>
        <v>105</v>
      </c>
      <c r="AA262" s="73">
        <v>2017</v>
      </c>
      <c r="AB262" s="48"/>
      <c r="AC262" s="42"/>
      <c r="AD262" s="42"/>
      <c r="AE262" s="43"/>
      <c r="AF262" s="43"/>
    </row>
    <row r="263" spans="1:32" s="65" customFormat="1" ht="45" x14ac:dyDescent="0.25">
      <c r="A263" s="71" t="s">
        <v>23</v>
      </c>
      <c r="B263" s="71" t="s">
        <v>23</v>
      </c>
      <c r="C263" s="71" t="s">
        <v>30</v>
      </c>
      <c r="D263" s="72">
        <v>0</v>
      </c>
      <c r="E263" s="72">
        <v>4</v>
      </c>
      <c r="F263" s="72">
        <v>0</v>
      </c>
      <c r="G263" s="72">
        <v>9</v>
      </c>
      <c r="H263" s="71" t="s">
        <v>23</v>
      </c>
      <c r="I263" s="71" t="s">
        <v>31</v>
      </c>
      <c r="J263" s="71" t="s">
        <v>24</v>
      </c>
      <c r="K263" s="71" t="s">
        <v>23</v>
      </c>
      <c r="L263" s="71" t="s">
        <v>33</v>
      </c>
      <c r="M263" s="71" t="s">
        <v>180</v>
      </c>
      <c r="N263" s="71" t="s">
        <v>23</v>
      </c>
      <c r="O263" s="71" t="s">
        <v>33</v>
      </c>
      <c r="P263" s="71" t="s">
        <v>34</v>
      </c>
      <c r="Q263" s="71" t="s">
        <v>216</v>
      </c>
      <c r="R263" s="72" t="s">
        <v>227</v>
      </c>
      <c r="S263" s="73" t="s">
        <v>59</v>
      </c>
      <c r="T263" s="74"/>
      <c r="U263" s="74"/>
      <c r="V263" s="74">
        <v>189.3</v>
      </c>
      <c r="W263" s="74"/>
      <c r="X263" s="74"/>
      <c r="Y263" s="74"/>
      <c r="Z263" s="75">
        <f t="shared" si="56"/>
        <v>189.3</v>
      </c>
      <c r="AA263" s="73">
        <v>2017</v>
      </c>
      <c r="AB263" s="48"/>
      <c r="AC263" s="42"/>
      <c r="AD263" s="42"/>
      <c r="AE263" s="43"/>
      <c r="AF263" s="43"/>
    </row>
    <row r="264" spans="1:32" s="65" customFormat="1" ht="30" x14ac:dyDescent="0.25">
      <c r="A264" s="41"/>
      <c r="B264" s="41"/>
      <c r="C264" s="41"/>
      <c r="D264" s="41"/>
      <c r="E264" s="41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17" t="s">
        <v>229</v>
      </c>
      <c r="S264" s="15" t="s">
        <v>12</v>
      </c>
      <c r="T264" s="8"/>
      <c r="U264" s="8"/>
      <c r="V264" s="8">
        <v>176</v>
      </c>
      <c r="W264" s="8"/>
      <c r="X264" s="8"/>
      <c r="Y264" s="8"/>
      <c r="Z264" s="5">
        <f>V264</f>
        <v>176</v>
      </c>
      <c r="AA264" s="15">
        <v>2017</v>
      </c>
      <c r="AB264" s="48"/>
      <c r="AC264" s="42"/>
      <c r="AD264" s="42"/>
      <c r="AE264" s="43"/>
      <c r="AF264" s="43"/>
    </row>
    <row r="265" spans="1:32" s="65" customFormat="1" ht="45" x14ac:dyDescent="0.25">
      <c r="A265" s="71" t="s">
        <v>23</v>
      </c>
      <c r="B265" s="71" t="s">
        <v>23</v>
      </c>
      <c r="C265" s="71" t="s">
        <v>30</v>
      </c>
      <c r="D265" s="72">
        <v>0</v>
      </c>
      <c r="E265" s="72">
        <v>4</v>
      </c>
      <c r="F265" s="72">
        <v>0</v>
      </c>
      <c r="G265" s="72">
        <v>9</v>
      </c>
      <c r="H265" s="71" t="s">
        <v>23</v>
      </c>
      <c r="I265" s="71" t="s">
        <v>31</v>
      </c>
      <c r="J265" s="71" t="s">
        <v>24</v>
      </c>
      <c r="K265" s="71" t="s">
        <v>23</v>
      </c>
      <c r="L265" s="71" t="s">
        <v>23</v>
      </c>
      <c r="M265" s="71" t="s">
        <v>23</v>
      </c>
      <c r="N265" s="71" t="s">
        <v>23</v>
      </c>
      <c r="O265" s="71" t="s">
        <v>23</v>
      </c>
      <c r="P265" s="71" t="s">
        <v>23</v>
      </c>
      <c r="Q265" s="71" t="s">
        <v>23</v>
      </c>
      <c r="R265" s="72" t="s">
        <v>228</v>
      </c>
      <c r="S265" s="73" t="s">
        <v>59</v>
      </c>
      <c r="T265" s="74"/>
      <c r="U265" s="74"/>
      <c r="V265" s="75">
        <f>V266+V267+V268</f>
        <v>994.9</v>
      </c>
      <c r="W265" s="74"/>
      <c r="X265" s="74"/>
      <c r="Y265" s="74"/>
      <c r="Z265" s="75">
        <f>V265</f>
        <v>994.9</v>
      </c>
      <c r="AA265" s="73">
        <v>2017</v>
      </c>
      <c r="AB265" s="48"/>
      <c r="AC265" s="42"/>
      <c r="AD265" s="42"/>
      <c r="AE265" s="43"/>
      <c r="AF265" s="43"/>
    </row>
    <row r="266" spans="1:32" s="65" customFormat="1" ht="45" x14ac:dyDescent="0.25">
      <c r="A266" s="71" t="s">
        <v>23</v>
      </c>
      <c r="B266" s="71" t="s">
        <v>23</v>
      </c>
      <c r="C266" s="71" t="s">
        <v>30</v>
      </c>
      <c r="D266" s="72">
        <v>0</v>
      </c>
      <c r="E266" s="72">
        <v>4</v>
      </c>
      <c r="F266" s="72">
        <v>0</v>
      </c>
      <c r="G266" s="72">
        <v>9</v>
      </c>
      <c r="H266" s="71" t="s">
        <v>23</v>
      </c>
      <c r="I266" s="71" t="s">
        <v>31</v>
      </c>
      <c r="J266" s="71" t="s">
        <v>24</v>
      </c>
      <c r="K266" s="71" t="s">
        <v>23</v>
      </c>
      <c r="L266" s="71" t="s">
        <v>33</v>
      </c>
      <c r="M266" s="71" t="s">
        <v>180</v>
      </c>
      <c r="N266" s="71" t="s">
        <v>23</v>
      </c>
      <c r="O266" s="71" t="s">
        <v>33</v>
      </c>
      <c r="P266" s="71" t="s">
        <v>34</v>
      </c>
      <c r="Q266" s="71" t="s">
        <v>208</v>
      </c>
      <c r="R266" s="72" t="s">
        <v>228</v>
      </c>
      <c r="S266" s="73" t="s">
        <v>59</v>
      </c>
      <c r="T266" s="74"/>
      <c r="U266" s="74"/>
      <c r="V266" s="74">
        <v>447</v>
      </c>
      <c r="W266" s="74"/>
      <c r="X266" s="74"/>
      <c r="Y266" s="74"/>
      <c r="Z266" s="75">
        <f t="shared" ref="Z266:Z268" si="57">V266</f>
        <v>447</v>
      </c>
      <c r="AA266" s="73">
        <v>2017</v>
      </c>
      <c r="AB266" s="48"/>
      <c r="AC266" s="42"/>
      <c r="AD266" s="42"/>
      <c r="AE266" s="43"/>
      <c r="AF266" s="43"/>
    </row>
    <row r="267" spans="1:32" s="65" customFormat="1" ht="45" x14ac:dyDescent="0.25">
      <c r="A267" s="71" t="s">
        <v>23</v>
      </c>
      <c r="B267" s="71" t="s">
        <v>23</v>
      </c>
      <c r="C267" s="71" t="s">
        <v>30</v>
      </c>
      <c r="D267" s="72">
        <v>0</v>
      </c>
      <c r="E267" s="72">
        <v>4</v>
      </c>
      <c r="F267" s="72">
        <v>0</v>
      </c>
      <c r="G267" s="72">
        <v>9</v>
      </c>
      <c r="H267" s="71" t="s">
        <v>23</v>
      </c>
      <c r="I267" s="71" t="s">
        <v>31</v>
      </c>
      <c r="J267" s="71" t="s">
        <v>24</v>
      </c>
      <c r="K267" s="71" t="s">
        <v>23</v>
      </c>
      <c r="L267" s="71" t="s">
        <v>33</v>
      </c>
      <c r="M267" s="71" t="s">
        <v>180</v>
      </c>
      <c r="N267" s="71" t="s">
        <v>23</v>
      </c>
      <c r="O267" s="71" t="s">
        <v>33</v>
      </c>
      <c r="P267" s="71" t="s">
        <v>34</v>
      </c>
      <c r="Q267" s="71" t="s">
        <v>215</v>
      </c>
      <c r="R267" s="72" t="s">
        <v>228</v>
      </c>
      <c r="S267" s="73" t="s">
        <v>59</v>
      </c>
      <c r="T267" s="74"/>
      <c r="U267" s="74"/>
      <c r="V267" s="74">
        <v>150</v>
      </c>
      <c r="W267" s="74"/>
      <c r="X267" s="74"/>
      <c r="Y267" s="74"/>
      <c r="Z267" s="75">
        <f t="shared" si="57"/>
        <v>150</v>
      </c>
      <c r="AA267" s="73">
        <v>2017</v>
      </c>
      <c r="AB267" s="48"/>
      <c r="AC267" s="42"/>
      <c r="AD267" s="42"/>
      <c r="AE267" s="43"/>
      <c r="AF267" s="43"/>
    </row>
    <row r="268" spans="1:32" s="65" customFormat="1" ht="45" x14ac:dyDescent="0.25">
      <c r="A268" s="71" t="s">
        <v>23</v>
      </c>
      <c r="B268" s="71" t="s">
        <v>23</v>
      </c>
      <c r="C268" s="71" t="s">
        <v>30</v>
      </c>
      <c r="D268" s="72">
        <v>0</v>
      </c>
      <c r="E268" s="72">
        <v>4</v>
      </c>
      <c r="F268" s="72">
        <v>0</v>
      </c>
      <c r="G268" s="72">
        <v>9</v>
      </c>
      <c r="H268" s="71" t="s">
        <v>23</v>
      </c>
      <c r="I268" s="71" t="s">
        <v>31</v>
      </c>
      <c r="J268" s="71" t="s">
        <v>24</v>
      </c>
      <c r="K268" s="71" t="s">
        <v>23</v>
      </c>
      <c r="L268" s="71" t="s">
        <v>33</v>
      </c>
      <c r="M268" s="71" t="s">
        <v>180</v>
      </c>
      <c r="N268" s="71" t="s">
        <v>23</v>
      </c>
      <c r="O268" s="71" t="s">
        <v>33</v>
      </c>
      <c r="P268" s="71" t="s">
        <v>34</v>
      </c>
      <c r="Q268" s="71" t="s">
        <v>216</v>
      </c>
      <c r="R268" s="72" t="s">
        <v>228</v>
      </c>
      <c r="S268" s="73" t="s">
        <v>59</v>
      </c>
      <c r="T268" s="74"/>
      <c r="U268" s="74"/>
      <c r="V268" s="74">
        <v>397.9</v>
      </c>
      <c r="W268" s="74"/>
      <c r="X268" s="74"/>
      <c r="Y268" s="74"/>
      <c r="Z268" s="75">
        <f t="shared" si="57"/>
        <v>397.9</v>
      </c>
      <c r="AA268" s="73">
        <v>2017</v>
      </c>
      <c r="AB268" s="48"/>
      <c r="AC268" s="42"/>
      <c r="AD268" s="42"/>
      <c r="AE268" s="43"/>
      <c r="AF268" s="43"/>
    </row>
    <row r="269" spans="1:32" s="65" customFormat="1" ht="60" x14ac:dyDescent="0.25">
      <c r="A269" s="41"/>
      <c r="B269" s="41"/>
      <c r="C269" s="41"/>
      <c r="D269" s="41"/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17" t="s">
        <v>217</v>
      </c>
      <c r="S269" s="15" t="s">
        <v>60</v>
      </c>
      <c r="T269" s="8"/>
      <c r="U269" s="8"/>
      <c r="V269" s="8">
        <v>0.6</v>
      </c>
      <c r="W269" s="8"/>
      <c r="X269" s="8"/>
      <c r="Y269" s="8"/>
      <c r="Z269" s="5">
        <f>V269</f>
        <v>0.6</v>
      </c>
      <c r="AA269" s="15">
        <v>2017</v>
      </c>
      <c r="AB269" s="48"/>
      <c r="AC269" s="42"/>
      <c r="AD269" s="42"/>
      <c r="AE269" s="43"/>
      <c r="AF269" s="43"/>
    </row>
    <row r="270" spans="1:32" s="65" customFormat="1" ht="60" x14ac:dyDescent="0.25">
      <c r="A270" s="71" t="s">
        <v>23</v>
      </c>
      <c r="B270" s="71" t="s">
        <v>23</v>
      </c>
      <c r="C270" s="71" t="s">
        <v>35</v>
      </c>
      <c r="D270" s="72">
        <v>0</v>
      </c>
      <c r="E270" s="72">
        <v>4</v>
      </c>
      <c r="F270" s="72">
        <v>0</v>
      </c>
      <c r="G270" s="72">
        <v>9</v>
      </c>
      <c r="H270" s="71" t="s">
        <v>23</v>
      </c>
      <c r="I270" s="71" t="s">
        <v>31</v>
      </c>
      <c r="J270" s="71" t="s">
        <v>24</v>
      </c>
      <c r="K270" s="71" t="s">
        <v>23</v>
      </c>
      <c r="L270" s="71" t="s">
        <v>23</v>
      </c>
      <c r="M270" s="71" t="s">
        <v>23</v>
      </c>
      <c r="N270" s="71" t="s">
        <v>23</v>
      </c>
      <c r="O270" s="71" t="s">
        <v>23</v>
      </c>
      <c r="P270" s="71" t="s">
        <v>23</v>
      </c>
      <c r="Q270" s="71" t="s">
        <v>23</v>
      </c>
      <c r="R270" s="72" t="s">
        <v>230</v>
      </c>
      <c r="S270" s="73" t="s">
        <v>59</v>
      </c>
      <c r="T270" s="74"/>
      <c r="U270" s="74"/>
      <c r="V270" s="75">
        <f>V271+V272+V273</f>
        <v>681.8</v>
      </c>
      <c r="W270" s="74"/>
      <c r="X270" s="74"/>
      <c r="Y270" s="74"/>
      <c r="Z270" s="75">
        <f>V270</f>
        <v>681.8</v>
      </c>
      <c r="AA270" s="73">
        <v>2017</v>
      </c>
      <c r="AB270" s="48"/>
      <c r="AC270" s="42"/>
      <c r="AD270" s="42"/>
      <c r="AE270" s="43"/>
      <c r="AF270" s="43"/>
    </row>
    <row r="271" spans="1:32" s="65" customFormat="1" ht="60" x14ac:dyDescent="0.25">
      <c r="A271" s="71" t="s">
        <v>23</v>
      </c>
      <c r="B271" s="71" t="s">
        <v>23</v>
      </c>
      <c r="C271" s="71" t="s">
        <v>35</v>
      </c>
      <c r="D271" s="72">
        <v>0</v>
      </c>
      <c r="E271" s="72">
        <v>4</v>
      </c>
      <c r="F271" s="72">
        <v>0</v>
      </c>
      <c r="G271" s="72">
        <v>9</v>
      </c>
      <c r="H271" s="71" t="s">
        <v>23</v>
      </c>
      <c r="I271" s="71" t="s">
        <v>31</v>
      </c>
      <c r="J271" s="71" t="s">
        <v>24</v>
      </c>
      <c r="K271" s="71" t="s">
        <v>23</v>
      </c>
      <c r="L271" s="71" t="s">
        <v>33</v>
      </c>
      <c r="M271" s="71" t="s">
        <v>180</v>
      </c>
      <c r="N271" s="71" t="s">
        <v>23</v>
      </c>
      <c r="O271" s="71" t="s">
        <v>33</v>
      </c>
      <c r="P271" s="71" t="s">
        <v>34</v>
      </c>
      <c r="Q271" s="71" t="s">
        <v>208</v>
      </c>
      <c r="R271" s="72" t="s">
        <v>230</v>
      </c>
      <c r="S271" s="73" t="s">
        <v>59</v>
      </c>
      <c r="T271" s="74"/>
      <c r="U271" s="74"/>
      <c r="V271" s="74">
        <v>249.1</v>
      </c>
      <c r="W271" s="74"/>
      <c r="X271" s="74"/>
      <c r="Y271" s="74"/>
      <c r="Z271" s="75">
        <f t="shared" ref="Z271:Z273" si="58">V271</f>
        <v>249.1</v>
      </c>
      <c r="AA271" s="73">
        <v>2017</v>
      </c>
      <c r="AB271" s="48"/>
      <c r="AC271" s="42"/>
      <c r="AD271" s="42"/>
      <c r="AE271" s="43"/>
      <c r="AF271" s="43"/>
    </row>
    <row r="272" spans="1:32" s="65" customFormat="1" ht="60" x14ac:dyDescent="0.25">
      <c r="A272" s="71" t="s">
        <v>23</v>
      </c>
      <c r="B272" s="71" t="s">
        <v>23</v>
      </c>
      <c r="C272" s="71" t="s">
        <v>35</v>
      </c>
      <c r="D272" s="72">
        <v>0</v>
      </c>
      <c r="E272" s="72">
        <v>4</v>
      </c>
      <c r="F272" s="72">
        <v>0</v>
      </c>
      <c r="G272" s="72">
        <v>9</v>
      </c>
      <c r="H272" s="71" t="s">
        <v>23</v>
      </c>
      <c r="I272" s="71" t="s">
        <v>31</v>
      </c>
      <c r="J272" s="71" t="s">
        <v>24</v>
      </c>
      <c r="K272" s="71" t="s">
        <v>23</v>
      </c>
      <c r="L272" s="71" t="s">
        <v>33</v>
      </c>
      <c r="M272" s="71" t="s">
        <v>180</v>
      </c>
      <c r="N272" s="71" t="s">
        <v>23</v>
      </c>
      <c r="O272" s="71" t="s">
        <v>33</v>
      </c>
      <c r="P272" s="71" t="s">
        <v>34</v>
      </c>
      <c r="Q272" s="71" t="s">
        <v>215</v>
      </c>
      <c r="R272" s="72" t="s">
        <v>230</v>
      </c>
      <c r="S272" s="73" t="s">
        <v>59</v>
      </c>
      <c r="T272" s="74"/>
      <c r="U272" s="74"/>
      <c r="V272" s="74">
        <v>160</v>
      </c>
      <c r="W272" s="74"/>
      <c r="X272" s="74"/>
      <c r="Y272" s="74"/>
      <c r="Z272" s="75">
        <f t="shared" si="58"/>
        <v>160</v>
      </c>
      <c r="AA272" s="73">
        <v>2017</v>
      </c>
      <c r="AB272" s="48"/>
      <c r="AC272" s="42"/>
      <c r="AD272" s="42"/>
      <c r="AE272" s="43"/>
      <c r="AF272" s="43"/>
    </row>
    <row r="273" spans="1:32" s="65" customFormat="1" ht="60" x14ac:dyDescent="0.25">
      <c r="A273" s="71" t="s">
        <v>23</v>
      </c>
      <c r="B273" s="71" t="s">
        <v>23</v>
      </c>
      <c r="C273" s="71" t="s">
        <v>35</v>
      </c>
      <c r="D273" s="72">
        <v>0</v>
      </c>
      <c r="E273" s="72">
        <v>4</v>
      </c>
      <c r="F273" s="72">
        <v>0</v>
      </c>
      <c r="G273" s="72">
        <v>9</v>
      </c>
      <c r="H273" s="71" t="s">
        <v>23</v>
      </c>
      <c r="I273" s="71" t="s">
        <v>31</v>
      </c>
      <c r="J273" s="71" t="s">
        <v>24</v>
      </c>
      <c r="K273" s="71" t="s">
        <v>23</v>
      </c>
      <c r="L273" s="71" t="s">
        <v>33</v>
      </c>
      <c r="M273" s="71" t="s">
        <v>180</v>
      </c>
      <c r="N273" s="71" t="s">
        <v>23</v>
      </c>
      <c r="O273" s="71" t="s">
        <v>33</v>
      </c>
      <c r="P273" s="71" t="s">
        <v>34</v>
      </c>
      <c r="Q273" s="71" t="s">
        <v>216</v>
      </c>
      <c r="R273" s="72" t="s">
        <v>230</v>
      </c>
      <c r="S273" s="73" t="s">
        <v>59</v>
      </c>
      <c r="T273" s="74"/>
      <c r="U273" s="74"/>
      <c r="V273" s="74">
        <v>272.7</v>
      </c>
      <c r="W273" s="74"/>
      <c r="X273" s="74"/>
      <c r="Y273" s="74"/>
      <c r="Z273" s="75">
        <f t="shared" si="58"/>
        <v>272.7</v>
      </c>
      <c r="AA273" s="73">
        <v>2017</v>
      </c>
      <c r="AB273" s="48"/>
      <c r="AC273" s="42"/>
      <c r="AD273" s="42"/>
      <c r="AE273" s="43"/>
      <c r="AF273" s="43"/>
    </row>
    <row r="274" spans="1:32" s="65" customFormat="1" ht="30" x14ac:dyDescent="0.25">
      <c r="A274" s="41"/>
      <c r="B274" s="41"/>
      <c r="C274" s="41"/>
      <c r="D274" s="41"/>
      <c r="E274" s="41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17" t="s">
        <v>232</v>
      </c>
      <c r="S274" s="15" t="s">
        <v>60</v>
      </c>
      <c r="T274" s="8"/>
      <c r="U274" s="8"/>
      <c r="V274" s="8">
        <v>1</v>
      </c>
      <c r="W274" s="8"/>
      <c r="X274" s="8"/>
      <c r="Y274" s="8"/>
      <c r="Z274" s="5">
        <f>V274</f>
        <v>1</v>
      </c>
      <c r="AA274" s="15">
        <v>2017</v>
      </c>
      <c r="AB274" s="48"/>
      <c r="AC274" s="42"/>
      <c r="AD274" s="42"/>
      <c r="AE274" s="43"/>
      <c r="AF274" s="43"/>
    </row>
    <row r="275" spans="1:32" s="65" customFormat="1" ht="60" x14ac:dyDescent="0.25">
      <c r="A275" s="71" t="s">
        <v>23</v>
      </c>
      <c r="B275" s="71" t="s">
        <v>23</v>
      </c>
      <c r="C275" s="71" t="s">
        <v>35</v>
      </c>
      <c r="D275" s="72">
        <v>0</v>
      </c>
      <c r="E275" s="72">
        <v>4</v>
      </c>
      <c r="F275" s="72">
        <v>0</v>
      </c>
      <c r="G275" s="72">
        <v>9</v>
      </c>
      <c r="H275" s="71" t="s">
        <v>23</v>
      </c>
      <c r="I275" s="71" t="s">
        <v>31</v>
      </c>
      <c r="J275" s="71" t="s">
        <v>24</v>
      </c>
      <c r="K275" s="71" t="s">
        <v>23</v>
      </c>
      <c r="L275" s="71" t="s">
        <v>23</v>
      </c>
      <c r="M275" s="71" t="s">
        <v>23</v>
      </c>
      <c r="N275" s="71" t="s">
        <v>23</v>
      </c>
      <c r="O275" s="71" t="s">
        <v>23</v>
      </c>
      <c r="P275" s="71" t="s">
        <v>23</v>
      </c>
      <c r="Q275" s="71" t="s">
        <v>23</v>
      </c>
      <c r="R275" s="72" t="s">
        <v>231</v>
      </c>
      <c r="S275" s="73" t="s">
        <v>59</v>
      </c>
      <c r="T275" s="74"/>
      <c r="U275" s="74"/>
      <c r="V275" s="75">
        <f>V276+V277+V278</f>
        <v>1168.2</v>
      </c>
      <c r="W275" s="74"/>
      <c r="X275" s="74"/>
      <c r="Y275" s="74"/>
      <c r="Z275" s="75">
        <f>V275</f>
        <v>1168.2</v>
      </c>
      <c r="AA275" s="73">
        <v>2017</v>
      </c>
      <c r="AB275" s="48"/>
      <c r="AC275" s="42"/>
      <c r="AD275" s="42"/>
      <c r="AE275" s="43"/>
      <c r="AF275" s="43"/>
    </row>
    <row r="276" spans="1:32" s="65" customFormat="1" ht="60" x14ac:dyDescent="0.25">
      <c r="A276" s="71" t="s">
        <v>23</v>
      </c>
      <c r="B276" s="71" t="s">
        <v>23</v>
      </c>
      <c r="C276" s="71" t="s">
        <v>35</v>
      </c>
      <c r="D276" s="72">
        <v>0</v>
      </c>
      <c r="E276" s="72">
        <v>4</v>
      </c>
      <c r="F276" s="72">
        <v>0</v>
      </c>
      <c r="G276" s="72">
        <v>9</v>
      </c>
      <c r="H276" s="71" t="s">
        <v>23</v>
      </c>
      <c r="I276" s="71" t="s">
        <v>31</v>
      </c>
      <c r="J276" s="71" t="s">
        <v>24</v>
      </c>
      <c r="K276" s="71" t="s">
        <v>23</v>
      </c>
      <c r="L276" s="71" t="s">
        <v>33</v>
      </c>
      <c r="M276" s="71" t="s">
        <v>180</v>
      </c>
      <c r="N276" s="71" t="s">
        <v>23</v>
      </c>
      <c r="O276" s="71" t="s">
        <v>33</v>
      </c>
      <c r="P276" s="71" t="s">
        <v>34</v>
      </c>
      <c r="Q276" s="71" t="s">
        <v>208</v>
      </c>
      <c r="R276" s="72" t="s">
        <v>231</v>
      </c>
      <c r="S276" s="73" t="s">
        <v>59</v>
      </c>
      <c r="T276" s="74"/>
      <c r="U276" s="74"/>
      <c r="V276" s="74">
        <v>500</v>
      </c>
      <c r="W276" s="74"/>
      <c r="X276" s="74"/>
      <c r="Y276" s="74"/>
      <c r="Z276" s="75">
        <f t="shared" ref="Z276:Z278" si="59">V276</f>
        <v>500</v>
      </c>
      <c r="AA276" s="73">
        <v>2017</v>
      </c>
      <c r="AB276" s="48"/>
      <c r="AC276" s="42"/>
      <c r="AD276" s="42"/>
      <c r="AE276" s="43"/>
      <c r="AF276" s="43"/>
    </row>
    <row r="277" spans="1:32" s="65" customFormat="1" ht="60" x14ac:dyDescent="0.25">
      <c r="A277" s="71" t="s">
        <v>23</v>
      </c>
      <c r="B277" s="71" t="s">
        <v>23</v>
      </c>
      <c r="C277" s="71" t="s">
        <v>35</v>
      </c>
      <c r="D277" s="72">
        <v>0</v>
      </c>
      <c r="E277" s="72">
        <v>4</v>
      </c>
      <c r="F277" s="72">
        <v>0</v>
      </c>
      <c r="G277" s="72">
        <v>9</v>
      </c>
      <c r="H277" s="71" t="s">
        <v>23</v>
      </c>
      <c r="I277" s="71" t="s">
        <v>31</v>
      </c>
      <c r="J277" s="71" t="s">
        <v>24</v>
      </c>
      <c r="K277" s="71" t="s">
        <v>23</v>
      </c>
      <c r="L277" s="71" t="s">
        <v>33</v>
      </c>
      <c r="M277" s="71" t="s">
        <v>180</v>
      </c>
      <c r="N277" s="71" t="s">
        <v>23</v>
      </c>
      <c r="O277" s="71" t="s">
        <v>33</v>
      </c>
      <c r="P277" s="71" t="s">
        <v>34</v>
      </c>
      <c r="Q277" s="71" t="s">
        <v>215</v>
      </c>
      <c r="R277" s="72" t="s">
        <v>231</v>
      </c>
      <c r="S277" s="73" t="s">
        <v>59</v>
      </c>
      <c r="T277" s="74"/>
      <c r="U277" s="74"/>
      <c r="V277" s="74">
        <v>268.2</v>
      </c>
      <c r="W277" s="74"/>
      <c r="X277" s="74"/>
      <c r="Y277" s="74"/>
      <c r="Z277" s="75">
        <f t="shared" si="59"/>
        <v>268.2</v>
      </c>
      <c r="AA277" s="73">
        <v>2017</v>
      </c>
      <c r="AB277" s="48"/>
      <c r="AC277" s="42"/>
      <c r="AD277" s="42"/>
      <c r="AE277" s="43"/>
      <c r="AF277" s="43"/>
    </row>
    <row r="278" spans="1:32" s="65" customFormat="1" ht="60" x14ac:dyDescent="0.25">
      <c r="A278" s="71" t="s">
        <v>23</v>
      </c>
      <c r="B278" s="71" t="s">
        <v>23</v>
      </c>
      <c r="C278" s="71" t="s">
        <v>35</v>
      </c>
      <c r="D278" s="72">
        <v>0</v>
      </c>
      <c r="E278" s="72">
        <v>4</v>
      </c>
      <c r="F278" s="72">
        <v>0</v>
      </c>
      <c r="G278" s="72">
        <v>9</v>
      </c>
      <c r="H278" s="71" t="s">
        <v>23</v>
      </c>
      <c r="I278" s="71" t="s">
        <v>31</v>
      </c>
      <c r="J278" s="71" t="s">
        <v>24</v>
      </c>
      <c r="K278" s="71" t="s">
        <v>23</v>
      </c>
      <c r="L278" s="71" t="s">
        <v>33</v>
      </c>
      <c r="M278" s="71" t="s">
        <v>180</v>
      </c>
      <c r="N278" s="71" t="s">
        <v>23</v>
      </c>
      <c r="O278" s="71" t="s">
        <v>33</v>
      </c>
      <c r="P278" s="71" t="s">
        <v>34</v>
      </c>
      <c r="Q278" s="71" t="s">
        <v>216</v>
      </c>
      <c r="R278" s="72" t="s">
        <v>231</v>
      </c>
      <c r="S278" s="73" t="s">
        <v>59</v>
      </c>
      <c r="T278" s="74"/>
      <c r="U278" s="74"/>
      <c r="V278" s="74">
        <v>400</v>
      </c>
      <c r="W278" s="74"/>
      <c r="X278" s="74"/>
      <c r="Y278" s="74"/>
      <c r="Z278" s="75">
        <f t="shared" si="59"/>
        <v>400</v>
      </c>
      <c r="AA278" s="73">
        <v>2017</v>
      </c>
      <c r="AB278" s="48"/>
      <c r="AC278" s="42"/>
      <c r="AD278" s="42"/>
      <c r="AE278" s="43"/>
      <c r="AF278" s="43"/>
    </row>
    <row r="279" spans="1:32" s="65" customFormat="1" ht="30" x14ac:dyDescent="0.25">
      <c r="A279" s="41"/>
      <c r="B279" s="41"/>
      <c r="C279" s="41"/>
      <c r="D279" s="41"/>
      <c r="E279" s="41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17" t="s">
        <v>232</v>
      </c>
      <c r="S279" s="15" t="s">
        <v>60</v>
      </c>
      <c r="T279" s="8"/>
      <c r="U279" s="8"/>
      <c r="V279" s="8">
        <v>1</v>
      </c>
      <c r="W279" s="8"/>
      <c r="X279" s="8"/>
      <c r="Y279" s="8"/>
      <c r="Z279" s="5">
        <f>V279</f>
        <v>1</v>
      </c>
      <c r="AA279" s="15">
        <v>2017</v>
      </c>
      <c r="AB279" s="48"/>
      <c r="AC279" s="42"/>
      <c r="AD279" s="42"/>
      <c r="AE279" s="43"/>
      <c r="AF279" s="43"/>
    </row>
    <row r="280" spans="1:32" ht="31.9" customHeight="1" x14ac:dyDescent="0.25">
      <c r="A280" s="61" t="s">
        <v>23</v>
      </c>
      <c r="B280" s="61" t="s">
        <v>23</v>
      </c>
      <c r="C280" s="61" t="s">
        <v>23</v>
      </c>
      <c r="D280" s="61" t="s">
        <v>23</v>
      </c>
      <c r="E280" s="61" t="s">
        <v>33</v>
      </c>
      <c r="F280" s="61" t="s">
        <v>23</v>
      </c>
      <c r="G280" s="61" t="s">
        <v>31</v>
      </c>
      <c r="H280" s="61" t="s">
        <v>23</v>
      </c>
      <c r="I280" s="61" t="s">
        <v>31</v>
      </c>
      <c r="J280" s="61" t="s">
        <v>25</v>
      </c>
      <c r="K280" s="61" t="s">
        <v>23</v>
      </c>
      <c r="L280" s="61" t="s">
        <v>23</v>
      </c>
      <c r="M280" s="61" t="s">
        <v>23</v>
      </c>
      <c r="N280" s="61" t="s">
        <v>23</v>
      </c>
      <c r="O280" s="61" t="s">
        <v>23</v>
      </c>
      <c r="P280" s="61" t="s">
        <v>23</v>
      </c>
      <c r="Q280" s="61" t="s">
        <v>23</v>
      </c>
      <c r="R280" s="62" t="s">
        <v>139</v>
      </c>
      <c r="S280" s="7" t="s">
        <v>59</v>
      </c>
      <c r="T280" s="3">
        <f t="shared" ref="T280:Z280" si="60">T281</f>
        <v>613664.9</v>
      </c>
      <c r="U280" s="3">
        <f t="shared" si="60"/>
        <v>343332.7</v>
      </c>
      <c r="V280" s="3">
        <f t="shared" si="60"/>
        <v>244552</v>
      </c>
      <c r="W280" s="3">
        <f t="shared" si="60"/>
        <v>103000</v>
      </c>
      <c r="X280" s="3">
        <f t="shared" si="60"/>
        <v>93700</v>
      </c>
      <c r="Y280" s="3">
        <f t="shared" si="60"/>
        <v>110160</v>
      </c>
      <c r="Z280" s="3">
        <f t="shared" si="60"/>
        <v>1508409.5999999999</v>
      </c>
      <c r="AA280" s="7">
        <v>2020</v>
      </c>
    </row>
    <row r="281" spans="1:32" ht="42.75" x14ac:dyDescent="0.25">
      <c r="A281" s="20">
        <v>0</v>
      </c>
      <c r="B281" s="20">
        <v>0</v>
      </c>
      <c r="C281" s="20">
        <v>0</v>
      </c>
      <c r="D281" s="20">
        <v>0</v>
      </c>
      <c r="E281" s="20">
        <v>4</v>
      </c>
      <c r="F281" s="20">
        <v>0</v>
      </c>
      <c r="G281" s="20">
        <v>8</v>
      </c>
      <c r="H281" s="20">
        <v>0</v>
      </c>
      <c r="I281" s="63" t="s">
        <v>31</v>
      </c>
      <c r="J281" s="63" t="s">
        <v>25</v>
      </c>
      <c r="K281" s="63" t="s">
        <v>23</v>
      </c>
      <c r="L281" s="63" t="s">
        <v>24</v>
      </c>
      <c r="M281" s="63" t="s">
        <v>23</v>
      </c>
      <c r="N281" s="63" t="s">
        <v>23</v>
      </c>
      <c r="O281" s="63" t="s">
        <v>23</v>
      </c>
      <c r="P281" s="63" t="s">
        <v>23</v>
      </c>
      <c r="Q281" s="63" t="s">
        <v>23</v>
      </c>
      <c r="R281" s="64" t="s">
        <v>29</v>
      </c>
      <c r="S281" s="28" t="s">
        <v>59</v>
      </c>
      <c r="T281" s="16">
        <f>T284+T286+T288+T308+T314</f>
        <v>613664.9</v>
      </c>
      <c r="U281" s="16">
        <f>U284+U286+U288+U308+U314+U320</f>
        <v>343332.7</v>
      </c>
      <c r="V281" s="16">
        <f>V284+V286+V288+V308+V315+V320</f>
        <v>244552</v>
      </c>
      <c r="W281" s="16">
        <f t="shared" ref="W281:Y281" si="61">W284+W286+W288+W309+W315+W320</f>
        <v>103000</v>
      </c>
      <c r="X281" s="16">
        <f t="shared" si="61"/>
        <v>93700</v>
      </c>
      <c r="Y281" s="16">
        <f t="shared" si="61"/>
        <v>110160</v>
      </c>
      <c r="Z281" s="16">
        <f>Z284+Z286+Z288+Z308+Z314+Z320</f>
        <v>1508409.5999999999</v>
      </c>
      <c r="AA281" s="28">
        <v>2020</v>
      </c>
    </row>
    <row r="282" spans="1:32" s="22" customFormat="1" ht="45" x14ac:dyDescent="0.25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5"/>
      <c r="R282" s="17" t="s">
        <v>140</v>
      </c>
      <c r="S282" s="15" t="s">
        <v>61</v>
      </c>
      <c r="T282" s="8">
        <v>32718</v>
      </c>
      <c r="U282" s="8">
        <v>19505</v>
      </c>
      <c r="V282" s="8">
        <v>26453.200000000001</v>
      </c>
      <c r="W282" s="8">
        <v>26453.200000000001</v>
      </c>
      <c r="X282" s="8">
        <v>26453.200000000001</v>
      </c>
      <c r="Y282" s="8">
        <v>26453.200000000001</v>
      </c>
      <c r="Z282" s="5">
        <f>T282+U282+V282+W282+X282+Y282</f>
        <v>158035.80000000002</v>
      </c>
      <c r="AA282" s="15">
        <v>2020</v>
      </c>
      <c r="AB282" s="48"/>
      <c r="AC282" s="48"/>
      <c r="AD282" s="48"/>
      <c r="AE282" s="1"/>
      <c r="AF282" s="1"/>
    </row>
    <row r="283" spans="1:32" s="22" customFormat="1" ht="30" x14ac:dyDescent="0.25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5"/>
      <c r="R283" s="17" t="s">
        <v>175</v>
      </c>
      <c r="S283" s="15" t="s">
        <v>54</v>
      </c>
      <c r="T283" s="21">
        <f>T296+T297+T298+T312</f>
        <v>10</v>
      </c>
      <c r="U283" s="21">
        <f>U296+U297+U298+U312</f>
        <v>3</v>
      </c>
      <c r="V283" s="21"/>
      <c r="W283" s="21"/>
      <c r="X283" s="21"/>
      <c r="Y283" s="21"/>
      <c r="Z283" s="6">
        <f>Z296+Z297+Z298+Z312</f>
        <v>13</v>
      </c>
      <c r="AA283" s="15">
        <v>2016</v>
      </c>
      <c r="AB283" s="48"/>
      <c r="AC283" s="48"/>
      <c r="AD283" s="48"/>
      <c r="AE283" s="1"/>
      <c r="AF283" s="1"/>
    </row>
    <row r="284" spans="1:32" ht="45" x14ac:dyDescent="0.25">
      <c r="A284" s="73">
        <v>0</v>
      </c>
      <c r="B284" s="73">
        <v>1</v>
      </c>
      <c r="C284" s="73">
        <v>2</v>
      </c>
      <c r="D284" s="73">
        <v>0</v>
      </c>
      <c r="E284" s="73">
        <v>4</v>
      </c>
      <c r="F284" s="73">
        <v>0</v>
      </c>
      <c r="G284" s="73">
        <v>8</v>
      </c>
      <c r="H284" s="73">
        <v>0</v>
      </c>
      <c r="I284" s="73">
        <v>8</v>
      </c>
      <c r="J284" s="71" t="s">
        <v>25</v>
      </c>
      <c r="K284" s="71" t="s">
        <v>23</v>
      </c>
      <c r="L284" s="71" t="s">
        <v>24</v>
      </c>
      <c r="M284" s="71" t="s">
        <v>23</v>
      </c>
      <c r="N284" s="71" t="s">
        <v>23</v>
      </c>
      <c r="O284" s="71"/>
      <c r="P284" s="71"/>
      <c r="Q284" s="71"/>
      <c r="R284" s="72" t="s">
        <v>141</v>
      </c>
      <c r="S284" s="73" t="s">
        <v>59</v>
      </c>
      <c r="T284" s="74">
        <f>58149+62051+8731</f>
        <v>128931</v>
      </c>
      <c r="U284" s="74"/>
      <c r="V284" s="74"/>
      <c r="W284" s="74"/>
      <c r="X284" s="74"/>
      <c r="Y284" s="74"/>
      <c r="Z284" s="75">
        <f>T284+U284+V284+W284+X284+Y284</f>
        <v>128931</v>
      </c>
      <c r="AA284" s="73">
        <v>2015</v>
      </c>
    </row>
    <row r="285" spans="1:32" ht="30" x14ac:dyDescent="0.25">
      <c r="A285" s="41"/>
      <c r="B285" s="41"/>
      <c r="C285" s="41"/>
      <c r="D285" s="41"/>
      <c r="E285" s="41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17" t="s">
        <v>142</v>
      </c>
      <c r="S285" s="15" t="s">
        <v>10</v>
      </c>
      <c r="T285" s="21">
        <v>100</v>
      </c>
      <c r="U285" s="21"/>
      <c r="V285" s="21"/>
      <c r="W285" s="21"/>
      <c r="X285" s="21"/>
      <c r="Y285" s="21"/>
      <c r="Z285" s="6">
        <v>100</v>
      </c>
      <c r="AA285" s="15">
        <v>2015</v>
      </c>
    </row>
    <row r="286" spans="1:32" s="22" customFormat="1" ht="59.25" x14ac:dyDescent="0.25">
      <c r="A286" s="73">
        <v>0</v>
      </c>
      <c r="B286" s="73">
        <v>1</v>
      </c>
      <c r="C286" s="73">
        <v>2</v>
      </c>
      <c r="D286" s="73">
        <v>0</v>
      </c>
      <c r="E286" s="73">
        <v>4</v>
      </c>
      <c r="F286" s="73">
        <v>0</v>
      </c>
      <c r="G286" s="73">
        <v>8</v>
      </c>
      <c r="H286" s="73">
        <v>0</v>
      </c>
      <c r="I286" s="73">
        <v>8</v>
      </c>
      <c r="J286" s="71" t="s">
        <v>25</v>
      </c>
      <c r="K286" s="71" t="s">
        <v>23</v>
      </c>
      <c r="L286" s="71" t="s">
        <v>24</v>
      </c>
      <c r="M286" s="71" t="s">
        <v>23</v>
      </c>
      <c r="N286" s="71" t="s">
        <v>23</v>
      </c>
      <c r="O286" s="71"/>
      <c r="P286" s="71"/>
      <c r="Q286" s="71"/>
      <c r="R286" s="72" t="s">
        <v>143</v>
      </c>
      <c r="S286" s="73" t="s">
        <v>59</v>
      </c>
      <c r="T286" s="74">
        <f>10000+29791+34000+21269</f>
        <v>95060</v>
      </c>
      <c r="U286" s="74"/>
      <c r="V286" s="74"/>
      <c r="W286" s="74"/>
      <c r="X286" s="74"/>
      <c r="Y286" s="74"/>
      <c r="Z286" s="75">
        <f>T286+U286+V286+W286+X286+Y286</f>
        <v>95060</v>
      </c>
      <c r="AA286" s="73">
        <v>2015</v>
      </c>
      <c r="AB286" s="48"/>
      <c r="AC286" s="48"/>
      <c r="AD286" s="48"/>
      <c r="AE286" s="1"/>
      <c r="AF286" s="1"/>
    </row>
    <row r="287" spans="1:32" ht="30" x14ac:dyDescent="0.25">
      <c r="A287" s="41"/>
      <c r="B287" s="41"/>
      <c r="C287" s="41"/>
      <c r="D287" s="41"/>
      <c r="E287" s="41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17" t="s">
        <v>144</v>
      </c>
      <c r="S287" s="15" t="s">
        <v>10</v>
      </c>
      <c r="T287" s="21">
        <v>100</v>
      </c>
      <c r="U287" s="21"/>
      <c r="V287" s="21"/>
      <c r="W287" s="21"/>
      <c r="X287" s="21"/>
      <c r="Y287" s="21"/>
      <c r="Z287" s="6">
        <v>100</v>
      </c>
      <c r="AA287" s="15">
        <v>2015</v>
      </c>
    </row>
    <row r="288" spans="1:32" ht="30" x14ac:dyDescent="0.25">
      <c r="A288" s="71"/>
      <c r="B288" s="71"/>
      <c r="C288" s="71"/>
      <c r="D288" s="71" t="s">
        <v>23</v>
      </c>
      <c r="E288" s="71" t="s">
        <v>33</v>
      </c>
      <c r="F288" s="71" t="s">
        <v>23</v>
      </c>
      <c r="G288" s="71" t="s">
        <v>31</v>
      </c>
      <c r="H288" s="71" t="s">
        <v>23</v>
      </c>
      <c r="I288" s="71" t="s">
        <v>31</v>
      </c>
      <c r="J288" s="71" t="s">
        <v>25</v>
      </c>
      <c r="K288" s="71" t="s">
        <v>23</v>
      </c>
      <c r="L288" s="71" t="s">
        <v>23</v>
      </c>
      <c r="M288" s="71" t="s">
        <v>23</v>
      </c>
      <c r="N288" s="71" t="s">
        <v>23</v>
      </c>
      <c r="O288" s="71" t="s">
        <v>23</v>
      </c>
      <c r="P288" s="71" t="s">
        <v>23</v>
      </c>
      <c r="Q288" s="71" t="s">
        <v>23</v>
      </c>
      <c r="R288" s="72" t="s">
        <v>50</v>
      </c>
      <c r="S288" s="73" t="s">
        <v>59</v>
      </c>
      <c r="T288" s="75">
        <f>T289+T290+T291+T292</f>
        <v>239550</v>
      </c>
      <c r="U288" s="75">
        <f>U293+U294+U295</f>
        <v>4377.1000000000004</v>
      </c>
      <c r="V288" s="75"/>
      <c r="W288" s="75"/>
      <c r="X288" s="75"/>
      <c r="Y288" s="75"/>
      <c r="Z288" s="75">
        <f t="shared" ref="Z288:Z298" si="62">T288+U288+V288+W288+X288+Y288</f>
        <v>243927.1</v>
      </c>
      <c r="AA288" s="73">
        <v>2016</v>
      </c>
    </row>
    <row r="289" spans="1:27" ht="30" x14ac:dyDescent="0.25">
      <c r="A289" s="71" t="s">
        <v>23</v>
      </c>
      <c r="B289" s="71" t="s">
        <v>24</v>
      </c>
      <c r="C289" s="71" t="s">
        <v>25</v>
      </c>
      <c r="D289" s="71" t="s">
        <v>23</v>
      </c>
      <c r="E289" s="71" t="s">
        <v>33</v>
      </c>
      <c r="F289" s="71" t="s">
        <v>23</v>
      </c>
      <c r="G289" s="71" t="s">
        <v>31</v>
      </c>
      <c r="H289" s="71" t="s">
        <v>23</v>
      </c>
      <c r="I289" s="71" t="s">
        <v>31</v>
      </c>
      <c r="J289" s="71" t="s">
        <v>25</v>
      </c>
      <c r="K289" s="71" t="s">
        <v>23</v>
      </c>
      <c r="L289" s="71" t="s">
        <v>24</v>
      </c>
      <c r="M289" s="71" t="s">
        <v>23</v>
      </c>
      <c r="N289" s="71" t="s">
        <v>24</v>
      </c>
      <c r="O289" s="71"/>
      <c r="P289" s="71"/>
      <c r="Q289" s="71"/>
      <c r="R289" s="72" t="s">
        <v>50</v>
      </c>
      <c r="S289" s="73" t="s">
        <v>59</v>
      </c>
      <c r="T289" s="74">
        <f>90000+2250</f>
        <v>92250</v>
      </c>
      <c r="U289" s="74"/>
      <c r="V289" s="74"/>
      <c r="W289" s="74"/>
      <c r="X289" s="74"/>
      <c r="Y289" s="74"/>
      <c r="Z289" s="75">
        <f t="shared" si="62"/>
        <v>92250</v>
      </c>
      <c r="AA289" s="73">
        <v>2015</v>
      </c>
    </row>
    <row r="290" spans="1:27" ht="30" x14ac:dyDescent="0.25">
      <c r="A290" s="71" t="s">
        <v>23</v>
      </c>
      <c r="B290" s="71" t="s">
        <v>24</v>
      </c>
      <c r="C290" s="71" t="s">
        <v>25</v>
      </c>
      <c r="D290" s="71" t="s">
        <v>23</v>
      </c>
      <c r="E290" s="71" t="s">
        <v>33</v>
      </c>
      <c r="F290" s="71" t="s">
        <v>23</v>
      </c>
      <c r="G290" s="71" t="s">
        <v>31</v>
      </c>
      <c r="H290" s="71" t="s">
        <v>23</v>
      </c>
      <c r="I290" s="71" t="s">
        <v>31</v>
      </c>
      <c r="J290" s="71" t="s">
        <v>25</v>
      </c>
      <c r="K290" s="71" t="s">
        <v>39</v>
      </c>
      <c r="L290" s="71" t="s">
        <v>35</v>
      </c>
      <c r="M290" s="71" t="s">
        <v>34</v>
      </c>
      <c r="N290" s="71" t="s">
        <v>25</v>
      </c>
      <c r="O290" s="71"/>
      <c r="P290" s="71"/>
      <c r="Q290" s="71"/>
      <c r="R290" s="72" t="s">
        <v>50</v>
      </c>
      <c r="S290" s="73" t="s">
        <v>59</v>
      </c>
      <c r="T290" s="74">
        <f>60000+74550</f>
        <v>134550</v>
      </c>
      <c r="U290" s="74"/>
      <c r="V290" s="74"/>
      <c r="W290" s="74"/>
      <c r="X290" s="74"/>
      <c r="Y290" s="74"/>
      <c r="Z290" s="75">
        <f t="shared" si="62"/>
        <v>134550</v>
      </c>
      <c r="AA290" s="73">
        <v>2015</v>
      </c>
    </row>
    <row r="291" spans="1:27" ht="30" x14ac:dyDescent="0.25">
      <c r="A291" s="71" t="s">
        <v>23</v>
      </c>
      <c r="B291" s="71" t="s">
        <v>24</v>
      </c>
      <c r="C291" s="71" t="s">
        <v>25</v>
      </c>
      <c r="D291" s="71" t="s">
        <v>23</v>
      </c>
      <c r="E291" s="71" t="s">
        <v>33</v>
      </c>
      <c r="F291" s="71" t="s">
        <v>23</v>
      </c>
      <c r="G291" s="71" t="s">
        <v>31</v>
      </c>
      <c r="H291" s="71" t="s">
        <v>23</v>
      </c>
      <c r="I291" s="71" t="s">
        <v>31</v>
      </c>
      <c r="J291" s="71" t="s">
        <v>25</v>
      </c>
      <c r="K291" s="71" t="s">
        <v>30</v>
      </c>
      <c r="L291" s="71" t="s">
        <v>23</v>
      </c>
      <c r="M291" s="71" t="s">
        <v>25</v>
      </c>
      <c r="N291" s="71" t="s">
        <v>39</v>
      </c>
      <c r="O291" s="71"/>
      <c r="P291" s="71"/>
      <c r="Q291" s="71"/>
      <c r="R291" s="72" t="s">
        <v>50</v>
      </c>
      <c r="S291" s="73" t="s">
        <v>59</v>
      </c>
      <c r="T291" s="74">
        <v>10500</v>
      </c>
      <c r="U291" s="74"/>
      <c r="V291" s="74"/>
      <c r="W291" s="74"/>
      <c r="X291" s="74"/>
      <c r="Y291" s="74"/>
      <c r="Z291" s="75">
        <f>T291+U291+V291+W291+X291+Y291</f>
        <v>10500</v>
      </c>
      <c r="AA291" s="73">
        <v>2015</v>
      </c>
    </row>
    <row r="292" spans="1:27" ht="30" x14ac:dyDescent="0.25">
      <c r="A292" s="71" t="s">
        <v>23</v>
      </c>
      <c r="B292" s="71" t="s">
        <v>24</v>
      </c>
      <c r="C292" s="71" t="s">
        <v>25</v>
      </c>
      <c r="D292" s="71" t="s">
        <v>23</v>
      </c>
      <c r="E292" s="71" t="s">
        <v>33</v>
      </c>
      <c r="F292" s="71" t="s">
        <v>23</v>
      </c>
      <c r="G292" s="71" t="s">
        <v>31</v>
      </c>
      <c r="H292" s="71" t="s">
        <v>23</v>
      </c>
      <c r="I292" s="71" t="s">
        <v>31</v>
      </c>
      <c r="J292" s="71" t="s">
        <v>25</v>
      </c>
      <c r="K292" s="71" t="s">
        <v>39</v>
      </c>
      <c r="L292" s="71" t="s">
        <v>33</v>
      </c>
      <c r="M292" s="71" t="s">
        <v>35</v>
      </c>
      <c r="N292" s="71" t="s">
        <v>25</v>
      </c>
      <c r="O292" s="71"/>
      <c r="P292" s="71"/>
      <c r="Q292" s="71"/>
      <c r="R292" s="72" t="s">
        <v>50</v>
      </c>
      <c r="S292" s="73" t="s">
        <v>59</v>
      </c>
      <c r="T292" s="74">
        <v>2250</v>
      </c>
      <c r="U292" s="74"/>
      <c r="V292" s="74"/>
      <c r="W292" s="74"/>
      <c r="X292" s="74"/>
      <c r="Y292" s="74"/>
      <c r="Z292" s="75">
        <f>T292+U292+V292+W292+X292+Y292</f>
        <v>2250</v>
      </c>
      <c r="AA292" s="73">
        <v>2015</v>
      </c>
    </row>
    <row r="293" spans="1:27" ht="30" x14ac:dyDescent="0.25">
      <c r="A293" s="71" t="s">
        <v>23</v>
      </c>
      <c r="B293" s="71" t="s">
        <v>24</v>
      </c>
      <c r="C293" s="71" t="s">
        <v>31</v>
      </c>
      <c r="D293" s="71" t="s">
        <v>23</v>
      </c>
      <c r="E293" s="71" t="s">
        <v>33</v>
      </c>
      <c r="F293" s="71" t="s">
        <v>23</v>
      </c>
      <c r="G293" s="71" t="s">
        <v>31</v>
      </c>
      <c r="H293" s="71" t="s">
        <v>23</v>
      </c>
      <c r="I293" s="71" t="s">
        <v>31</v>
      </c>
      <c r="J293" s="71" t="s">
        <v>25</v>
      </c>
      <c r="K293" s="71" t="s">
        <v>23</v>
      </c>
      <c r="L293" s="71" t="s">
        <v>24</v>
      </c>
      <c r="M293" s="71" t="s">
        <v>30</v>
      </c>
      <c r="N293" s="71" t="s">
        <v>23</v>
      </c>
      <c r="O293" s="71" t="s">
        <v>25</v>
      </c>
      <c r="P293" s="71" t="s">
        <v>39</v>
      </c>
      <c r="Q293" s="71" t="s">
        <v>209</v>
      </c>
      <c r="R293" s="72" t="s">
        <v>50</v>
      </c>
      <c r="S293" s="73" t="s">
        <v>59</v>
      </c>
      <c r="T293" s="74"/>
      <c r="U293" s="74">
        <v>3063.9</v>
      </c>
      <c r="V293" s="74"/>
      <c r="W293" s="74"/>
      <c r="X293" s="74"/>
      <c r="Y293" s="74"/>
      <c r="Z293" s="75">
        <f t="shared" ref="Z293:Z294" si="63">T293+U293+V293+W293+X293+Y293</f>
        <v>3063.9</v>
      </c>
      <c r="AA293" s="73">
        <v>2016</v>
      </c>
    </row>
    <row r="294" spans="1:27" ht="30" x14ac:dyDescent="0.25">
      <c r="A294" s="71" t="s">
        <v>23</v>
      </c>
      <c r="B294" s="71" t="s">
        <v>24</v>
      </c>
      <c r="C294" s="71" t="s">
        <v>31</v>
      </c>
      <c r="D294" s="71" t="s">
        <v>23</v>
      </c>
      <c r="E294" s="71" t="s">
        <v>33</v>
      </c>
      <c r="F294" s="71" t="s">
        <v>23</v>
      </c>
      <c r="G294" s="71" t="s">
        <v>31</v>
      </c>
      <c r="H294" s="71" t="s">
        <v>23</v>
      </c>
      <c r="I294" s="71" t="s">
        <v>31</v>
      </c>
      <c r="J294" s="71" t="s">
        <v>25</v>
      </c>
      <c r="K294" s="71" t="s">
        <v>23</v>
      </c>
      <c r="L294" s="71" t="s">
        <v>24</v>
      </c>
      <c r="M294" s="71" t="s">
        <v>210</v>
      </c>
      <c r="N294" s="71" t="s">
        <v>23</v>
      </c>
      <c r="O294" s="71" t="s">
        <v>25</v>
      </c>
      <c r="P294" s="71" t="s">
        <v>39</v>
      </c>
      <c r="Q294" s="71" t="s">
        <v>209</v>
      </c>
      <c r="R294" s="72" t="s">
        <v>50</v>
      </c>
      <c r="S294" s="73" t="s">
        <v>59</v>
      </c>
      <c r="T294" s="74"/>
      <c r="U294" s="74">
        <v>656.6</v>
      </c>
      <c r="V294" s="74"/>
      <c r="W294" s="74"/>
      <c r="X294" s="74"/>
      <c r="Y294" s="74"/>
      <c r="Z294" s="75">
        <f t="shared" si="63"/>
        <v>656.6</v>
      </c>
      <c r="AA294" s="73">
        <v>2016</v>
      </c>
    </row>
    <row r="295" spans="1:27" ht="30" x14ac:dyDescent="0.25">
      <c r="A295" s="71" t="s">
        <v>23</v>
      </c>
      <c r="B295" s="71" t="s">
        <v>24</v>
      </c>
      <c r="C295" s="71" t="s">
        <v>31</v>
      </c>
      <c r="D295" s="71" t="s">
        <v>23</v>
      </c>
      <c r="E295" s="71" t="s">
        <v>33</v>
      </c>
      <c r="F295" s="71" t="s">
        <v>23</v>
      </c>
      <c r="G295" s="71" t="s">
        <v>31</v>
      </c>
      <c r="H295" s="71" t="s">
        <v>23</v>
      </c>
      <c r="I295" s="71" t="s">
        <v>31</v>
      </c>
      <c r="J295" s="71" t="s">
        <v>25</v>
      </c>
      <c r="K295" s="71" t="s">
        <v>23</v>
      </c>
      <c r="L295" s="71" t="s">
        <v>24</v>
      </c>
      <c r="M295" s="71" t="s">
        <v>23</v>
      </c>
      <c r="N295" s="71" t="s">
        <v>23</v>
      </c>
      <c r="O295" s="71" t="s">
        <v>23</v>
      </c>
      <c r="P295" s="71" t="s">
        <v>23</v>
      </c>
      <c r="Q295" s="71" t="s">
        <v>24</v>
      </c>
      <c r="R295" s="72" t="s">
        <v>50</v>
      </c>
      <c r="S295" s="73" t="s">
        <v>59</v>
      </c>
      <c r="T295" s="74"/>
      <c r="U295" s="74">
        <v>656.6</v>
      </c>
      <c r="V295" s="74"/>
      <c r="W295" s="74"/>
      <c r="X295" s="74"/>
      <c r="Y295" s="74"/>
      <c r="Z295" s="75">
        <f>T295+U295+V295+W295+X295+Y295</f>
        <v>656.6</v>
      </c>
      <c r="AA295" s="73">
        <v>2016</v>
      </c>
    </row>
    <row r="296" spans="1:27" ht="30" x14ac:dyDescent="0.25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5"/>
      <c r="R296" s="17" t="s">
        <v>51</v>
      </c>
      <c r="S296" s="15" t="s">
        <v>54</v>
      </c>
      <c r="T296" s="18">
        <v>2</v>
      </c>
      <c r="U296" s="18"/>
      <c r="V296" s="18"/>
      <c r="W296" s="18"/>
      <c r="X296" s="18"/>
      <c r="Y296" s="18"/>
      <c r="Z296" s="6">
        <f t="shared" si="62"/>
        <v>2</v>
      </c>
      <c r="AA296" s="15">
        <v>2015</v>
      </c>
    </row>
    <row r="297" spans="1:27" ht="30" x14ac:dyDescent="0.25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5"/>
      <c r="R297" s="17" t="s">
        <v>52</v>
      </c>
      <c r="S297" s="15" t="s">
        <v>54</v>
      </c>
      <c r="T297" s="18"/>
      <c r="U297" s="18">
        <v>3</v>
      </c>
      <c r="V297" s="18"/>
      <c r="W297" s="18"/>
      <c r="X297" s="18"/>
      <c r="Y297" s="18"/>
      <c r="Z297" s="6">
        <f t="shared" si="62"/>
        <v>3</v>
      </c>
      <c r="AA297" s="15">
        <v>2016</v>
      </c>
    </row>
    <row r="298" spans="1:27" ht="30" x14ac:dyDescent="0.25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5"/>
      <c r="R298" s="17" t="s">
        <v>70</v>
      </c>
      <c r="S298" s="15" t="s">
        <v>54</v>
      </c>
      <c r="T298" s="18">
        <v>5</v>
      </c>
      <c r="U298" s="18"/>
      <c r="V298" s="18"/>
      <c r="W298" s="18"/>
      <c r="X298" s="18"/>
      <c r="Y298" s="18"/>
      <c r="Z298" s="6">
        <f t="shared" si="62"/>
        <v>5</v>
      </c>
      <c r="AA298" s="15">
        <v>2015</v>
      </c>
    </row>
    <row r="299" spans="1:27" ht="44.25" x14ac:dyDescent="0.25">
      <c r="A299" s="71"/>
      <c r="B299" s="71"/>
      <c r="C299" s="71"/>
      <c r="D299" s="71"/>
      <c r="E299" s="71"/>
      <c r="F299" s="71"/>
      <c r="G299" s="71"/>
      <c r="H299" s="71"/>
      <c r="I299" s="71"/>
      <c r="J299" s="71"/>
      <c r="K299" s="71"/>
      <c r="L299" s="71"/>
      <c r="M299" s="71"/>
      <c r="N299" s="71"/>
      <c r="O299" s="71"/>
      <c r="P299" s="71"/>
      <c r="Q299" s="71"/>
      <c r="R299" s="72" t="s">
        <v>145</v>
      </c>
      <c r="S299" s="73" t="s">
        <v>45</v>
      </c>
      <c r="T299" s="77">
        <v>1</v>
      </c>
      <c r="U299" s="77">
        <v>1</v>
      </c>
      <c r="V299" s="77">
        <v>1</v>
      </c>
      <c r="W299" s="77">
        <v>1</v>
      </c>
      <c r="X299" s="77">
        <v>1</v>
      </c>
      <c r="Y299" s="77">
        <v>1</v>
      </c>
      <c r="Z299" s="77">
        <v>1</v>
      </c>
      <c r="AA299" s="73">
        <v>2020</v>
      </c>
    </row>
    <row r="300" spans="1:27" ht="30" x14ac:dyDescent="0.25">
      <c r="A300" s="41"/>
      <c r="B300" s="41"/>
      <c r="C300" s="41"/>
      <c r="D300" s="41"/>
      <c r="E300" s="41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17" t="s">
        <v>146</v>
      </c>
      <c r="S300" s="15" t="s">
        <v>55</v>
      </c>
      <c r="T300" s="18">
        <v>45</v>
      </c>
      <c r="U300" s="18">
        <v>65</v>
      </c>
      <c r="V300" s="18">
        <v>45</v>
      </c>
      <c r="W300" s="18">
        <v>45</v>
      </c>
      <c r="X300" s="18">
        <v>45</v>
      </c>
      <c r="Y300" s="18">
        <v>45</v>
      </c>
      <c r="Z300" s="6">
        <f>T300+U300+V300+W300+X300+Y300</f>
        <v>290</v>
      </c>
      <c r="AA300" s="15">
        <v>2020</v>
      </c>
    </row>
    <row r="301" spans="1:27" ht="88.9" customHeight="1" x14ac:dyDescent="0.25">
      <c r="A301" s="71"/>
      <c r="B301" s="71"/>
      <c r="C301" s="71"/>
      <c r="D301" s="71"/>
      <c r="E301" s="71"/>
      <c r="F301" s="71"/>
      <c r="G301" s="71"/>
      <c r="H301" s="71"/>
      <c r="I301" s="71"/>
      <c r="J301" s="71"/>
      <c r="K301" s="71"/>
      <c r="L301" s="71"/>
      <c r="M301" s="71"/>
      <c r="N301" s="71"/>
      <c r="O301" s="71"/>
      <c r="P301" s="71"/>
      <c r="Q301" s="71"/>
      <c r="R301" s="72" t="s">
        <v>198</v>
      </c>
      <c r="S301" s="73" t="s">
        <v>45</v>
      </c>
      <c r="T301" s="77">
        <v>1</v>
      </c>
      <c r="U301" s="77">
        <v>1</v>
      </c>
      <c r="V301" s="77">
        <v>1</v>
      </c>
      <c r="W301" s="77">
        <v>1</v>
      </c>
      <c r="X301" s="77">
        <v>1</v>
      </c>
      <c r="Y301" s="77">
        <v>1</v>
      </c>
      <c r="Z301" s="77">
        <v>1</v>
      </c>
      <c r="AA301" s="73">
        <v>2020</v>
      </c>
    </row>
    <row r="302" spans="1:27" ht="59.45" customHeight="1" x14ac:dyDescent="0.25">
      <c r="A302" s="41"/>
      <c r="B302" s="41"/>
      <c r="C302" s="41"/>
      <c r="D302" s="41"/>
      <c r="E302" s="41"/>
      <c r="F302" s="41"/>
      <c r="G302" s="41"/>
      <c r="H302" s="41"/>
      <c r="I302" s="41"/>
      <c r="J302" s="41"/>
      <c r="K302" s="41"/>
      <c r="L302" s="41"/>
      <c r="M302" s="41"/>
      <c r="N302" s="41"/>
      <c r="O302" s="41"/>
      <c r="P302" s="41"/>
      <c r="Q302" s="41"/>
      <c r="R302" s="17" t="s">
        <v>199</v>
      </c>
      <c r="S302" s="15" t="s">
        <v>54</v>
      </c>
      <c r="T302" s="18">
        <v>24</v>
      </c>
      <c r="U302" s="18">
        <v>30</v>
      </c>
      <c r="V302" s="18">
        <v>44</v>
      </c>
      <c r="W302" s="18">
        <v>24</v>
      </c>
      <c r="X302" s="18">
        <v>24</v>
      </c>
      <c r="Y302" s="18">
        <v>24</v>
      </c>
      <c r="Z302" s="6">
        <f>T302+U302+V302+W302+X302+Y302</f>
        <v>170</v>
      </c>
      <c r="AA302" s="15">
        <v>2020</v>
      </c>
    </row>
    <row r="303" spans="1:27" ht="45" hidden="1" x14ac:dyDescent="0.25">
      <c r="A303" s="41"/>
      <c r="B303" s="41"/>
      <c r="C303" s="41"/>
      <c r="D303" s="41"/>
      <c r="E303" s="41"/>
      <c r="F303" s="41"/>
      <c r="G303" s="41"/>
      <c r="H303" s="41"/>
      <c r="I303" s="41"/>
      <c r="J303" s="41"/>
      <c r="K303" s="41"/>
      <c r="L303" s="41"/>
      <c r="M303" s="41"/>
      <c r="N303" s="41"/>
      <c r="O303" s="41"/>
      <c r="P303" s="41"/>
      <c r="Q303" s="41"/>
      <c r="R303" s="17" t="s">
        <v>147</v>
      </c>
      <c r="S303" s="15" t="s">
        <v>54</v>
      </c>
      <c r="T303" s="18">
        <v>24</v>
      </c>
      <c r="U303" s="18">
        <v>24</v>
      </c>
      <c r="V303" s="18">
        <v>24</v>
      </c>
      <c r="W303" s="18">
        <v>24</v>
      </c>
      <c r="X303" s="18">
        <v>24</v>
      </c>
      <c r="Y303" s="18">
        <v>24</v>
      </c>
      <c r="Z303" s="6">
        <f>T303+U303+V303+W303+X303+Y303</f>
        <v>144</v>
      </c>
      <c r="AA303" s="15">
        <v>2020</v>
      </c>
    </row>
    <row r="304" spans="1:27" ht="45" x14ac:dyDescent="0.25">
      <c r="A304" s="71"/>
      <c r="B304" s="71"/>
      <c r="C304" s="71"/>
      <c r="D304" s="71"/>
      <c r="E304" s="71"/>
      <c r="F304" s="71"/>
      <c r="G304" s="71"/>
      <c r="H304" s="71"/>
      <c r="I304" s="71"/>
      <c r="J304" s="71"/>
      <c r="K304" s="71"/>
      <c r="L304" s="71"/>
      <c r="M304" s="71"/>
      <c r="N304" s="71"/>
      <c r="O304" s="71"/>
      <c r="P304" s="71"/>
      <c r="Q304" s="71"/>
      <c r="R304" s="72" t="s">
        <v>148</v>
      </c>
      <c r="S304" s="73" t="s">
        <v>45</v>
      </c>
      <c r="T304" s="77">
        <v>1</v>
      </c>
      <c r="U304" s="77">
        <v>1</v>
      </c>
      <c r="V304" s="77">
        <v>1</v>
      </c>
      <c r="W304" s="77">
        <v>1</v>
      </c>
      <c r="X304" s="77">
        <v>1</v>
      </c>
      <c r="Y304" s="77">
        <v>1</v>
      </c>
      <c r="Z304" s="77">
        <v>1</v>
      </c>
      <c r="AA304" s="73">
        <v>2020</v>
      </c>
    </row>
    <row r="305" spans="1:32" ht="30" x14ac:dyDescent="0.25">
      <c r="A305" s="41"/>
      <c r="B305" s="41"/>
      <c r="C305" s="41"/>
      <c r="D305" s="41"/>
      <c r="E305" s="41"/>
      <c r="F305" s="41"/>
      <c r="G305" s="41"/>
      <c r="H305" s="41"/>
      <c r="I305" s="41"/>
      <c r="J305" s="41"/>
      <c r="K305" s="41"/>
      <c r="L305" s="41"/>
      <c r="M305" s="41"/>
      <c r="N305" s="41"/>
      <c r="O305" s="41"/>
      <c r="P305" s="41"/>
      <c r="Q305" s="41"/>
      <c r="R305" s="17" t="s">
        <v>149</v>
      </c>
      <c r="S305" s="15" t="s">
        <v>54</v>
      </c>
      <c r="T305" s="18">
        <v>48</v>
      </c>
      <c r="U305" s="18">
        <v>48</v>
      </c>
      <c r="V305" s="18">
        <v>48</v>
      </c>
      <c r="W305" s="18">
        <v>48</v>
      </c>
      <c r="X305" s="18">
        <v>48</v>
      </c>
      <c r="Y305" s="18">
        <v>48</v>
      </c>
      <c r="Z305" s="6">
        <f>T305+U305+V305+W305+X305+Y305</f>
        <v>288</v>
      </c>
      <c r="AA305" s="15">
        <v>2020</v>
      </c>
    </row>
    <row r="306" spans="1:32" s="65" customFormat="1" ht="30" x14ac:dyDescent="0.25">
      <c r="A306" s="71"/>
      <c r="B306" s="71"/>
      <c r="C306" s="71"/>
      <c r="D306" s="71"/>
      <c r="E306" s="71"/>
      <c r="F306" s="71"/>
      <c r="G306" s="71"/>
      <c r="H306" s="71"/>
      <c r="I306" s="71"/>
      <c r="J306" s="71"/>
      <c r="K306" s="71"/>
      <c r="L306" s="71"/>
      <c r="M306" s="71"/>
      <c r="N306" s="71"/>
      <c r="O306" s="71"/>
      <c r="P306" s="71"/>
      <c r="Q306" s="71"/>
      <c r="R306" s="72" t="s">
        <v>150</v>
      </c>
      <c r="S306" s="73" t="s">
        <v>45</v>
      </c>
      <c r="T306" s="77">
        <v>1</v>
      </c>
      <c r="U306" s="77">
        <v>1</v>
      </c>
      <c r="V306" s="77">
        <v>1</v>
      </c>
      <c r="W306" s="77">
        <v>1</v>
      </c>
      <c r="X306" s="77">
        <v>1</v>
      </c>
      <c r="Y306" s="77">
        <v>1</v>
      </c>
      <c r="Z306" s="77">
        <v>1</v>
      </c>
      <c r="AA306" s="73">
        <v>2020</v>
      </c>
      <c r="AB306" s="42"/>
      <c r="AC306" s="42"/>
      <c r="AD306" s="42"/>
      <c r="AE306" s="43"/>
      <c r="AF306" s="43"/>
    </row>
    <row r="307" spans="1:32" s="22" customFormat="1" ht="31.15" customHeight="1" x14ac:dyDescent="0.25">
      <c r="A307" s="41"/>
      <c r="B307" s="41"/>
      <c r="C307" s="41"/>
      <c r="D307" s="41"/>
      <c r="E307" s="41"/>
      <c r="F307" s="41"/>
      <c r="G307" s="41"/>
      <c r="H307" s="41"/>
      <c r="I307" s="41"/>
      <c r="J307" s="41"/>
      <c r="K307" s="41"/>
      <c r="L307" s="41"/>
      <c r="M307" s="41"/>
      <c r="N307" s="41"/>
      <c r="O307" s="41"/>
      <c r="P307" s="41"/>
      <c r="Q307" s="41"/>
      <c r="R307" s="17" t="s">
        <v>151</v>
      </c>
      <c r="S307" s="15" t="s">
        <v>54</v>
      </c>
      <c r="T307" s="18">
        <v>4</v>
      </c>
      <c r="U307" s="18">
        <v>4</v>
      </c>
      <c r="V307" s="18">
        <v>4</v>
      </c>
      <c r="W307" s="18">
        <v>4</v>
      </c>
      <c r="X307" s="18">
        <v>4</v>
      </c>
      <c r="Y307" s="18">
        <v>4</v>
      </c>
      <c r="Z307" s="6">
        <f t="shared" ref="Z307:Z312" si="64">T307+U307+V307+W307+X307+Y307</f>
        <v>24</v>
      </c>
      <c r="AA307" s="15">
        <v>2020</v>
      </c>
      <c r="AB307" s="48"/>
      <c r="AC307" s="48"/>
      <c r="AD307" s="48"/>
      <c r="AE307" s="1"/>
      <c r="AF307" s="1"/>
    </row>
    <row r="308" spans="1:32" s="22" customFormat="1" ht="45" x14ac:dyDescent="0.25">
      <c r="A308" s="71" t="s">
        <v>23</v>
      </c>
      <c r="B308" s="71" t="s">
        <v>24</v>
      </c>
      <c r="C308" s="71" t="s">
        <v>25</v>
      </c>
      <c r="D308" s="71" t="s">
        <v>23</v>
      </c>
      <c r="E308" s="71" t="s">
        <v>33</v>
      </c>
      <c r="F308" s="71" t="s">
        <v>23</v>
      </c>
      <c r="G308" s="71" t="s">
        <v>31</v>
      </c>
      <c r="H308" s="71" t="s">
        <v>23</v>
      </c>
      <c r="I308" s="71" t="s">
        <v>31</v>
      </c>
      <c r="J308" s="71" t="s">
        <v>25</v>
      </c>
      <c r="K308" s="71" t="s">
        <v>23</v>
      </c>
      <c r="L308" s="71" t="s">
        <v>23</v>
      </c>
      <c r="M308" s="71" t="s">
        <v>23</v>
      </c>
      <c r="N308" s="71" t="s">
        <v>23</v>
      </c>
      <c r="O308" s="71"/>
      <c r="P308" s="71"/>
      <c r="Q308" s="71"/>
      <c r="R308" s="72" t="s">
        <v>76</v>
      </c>
      <c r="S308" s="73" t="s">
        <v>59</v>
      </c>
      <c r="T308" s="75">
        <f>T309+T310</f>
        <v>44000</v>
      </c>
      <c r="U308" s="75">
        <f>U309+U310+U311</f>
        <v>78296.899999999994</v>
      </c>
      <c r="V308" s="75">
        <f t="shared" ref="V308" si="65">V309+V310+V311</f>
        <v>74552</v>
      </c>
      <c r="W308" s="75"/>
      <c r="X308" s="75"/>
      <c r="Y308" s="75"/>
      <c r="Z308" s="75">
        <f t="shared" si="64"/>
        <v>196848.9</v>
      </c>
      <c r="AA308" s="73">
        <v>2017</v>
      </c>
      <c r="AB308" s="48"/>
      <c r="AC308" s="48"/>
      <c r="AD308" s="48"/>
      <c r="AE308" s="1"/>
      <c r="AF308" s="1"/>
    </row>
    <row r="309" spans="1:32" s="22" customFormat="1" ht="45" x14ac:dyDescent="0.25">
      <c r="A309" s="71" t="s">
        <v>23</v>
      </c>
      <c r="B309" s="71" t="s">
        <v>24</v>
      </c>
      <c r="C309" s="71" t="s">
        <v>25</v>
      </c>
      <c r="D309" s="71" t="s">
        <v>23</v>
      </c>
      <c r="E309" s="71" t="s">
        <v>33</v>
      </c>
      <c r="F309" s="71" t="s">
        <v>23</v>
      </c>
      <c r="G309" s="71" t="s">
        <v>31</v>
      </c>
      <c r="H309" s="71" t="s">
        <v>23</v>
      </c>
      <c r="I309" s="71" t="s">
        <v>31</v>
      </c>
      <c r="J309" s="71" t="s">
        <v>25</v>
      </c>
      <c r="K309" s="71" t="s">
        <v>23</v>
      </c>
      <c r="L309" s="71" t="s">
        <v>24</v>
      </c>
      <c r="M309" s="71" t="s">
        <v>23</v>
      </c>
      <c r="N309" s="71" t="s">
        <v>23</v>
      </c>
      <c r="O309" s="71" t="s">
        <v>23</v>
      </c>
      <c r="P309" s="71" t="s">
        <v>23</v>
      </c>
      <c r="Q309" s="71" t="s">
        <v>25</v>
      </c>
      <c r="R309" s="72" t="s">
        <v>76</v>
      </c>
      <c r="S309" s="73" t="s">
        <v>59</v>
      </c>
      <c r="T309" s="74">
        <v>22000</v>
      </c>
      <c r="U309" s="74">
        <f>44941.2-38058.5-3135.8</f>
        <v>3746.8999999999969</v>
      </c>
      <c r="V309" s="74">
        <v>44941.2</v>
      </c>
      <c r="W309" s="74"/>
      <c r="X309" s="74"/>
      <c r="Y309" s="74"/>
      <c r="Z309" s="75">
        <f t="shared" si="64"/>
        <v>70688.099999999991</v>
      </c>
      <c r="AA309" s="73">
        <v>2017</v>
      </c>
      <c r="AB309" s="48"/>
      <c r="AC309" s="48"/>
      <c r="AD309" s="48"/>
      <c r="AE309" s="1"/>
      <c r="AF309" s="1"/>
    </row>
    <row r="310" spans="1:32" s="22" customFormat="1" ht="45" x14ac:dyDescent="0.25">
      <c r="A310" s="71" t="s">
        <v>23</v>
      </c>
      <c r="B310" s="71" t="s">
        <v>24</v>
      </c>
      <c r="C310" s="71" t="s">
        <v>25</v>
      </c>
      <c r="D310" s="71" t="s">
        <v>23</v>
      </c>
      <c r="E310" s="71" t="s">
        <v>33</v>
      </c>
      <c r="F310" s="71" t="s">
        <v>23</v>
      </c>
      <c r="G310" s="71" t="s">
        <v>31</v>
      </c>
      <c r="H310" s="71" t="s">
        <v>23</v>
      </c>
      <c r="I310" s="71" t="s">
        <v>31</v>
      </c>
      <c r="J310" s="71" t="s">
        <v>25</v>
      </c>
      <c r="K310" s="71" t="s">
        <v>39</v>
      </c>
      <c r="L310" s="71" t="s">
        <v>35</v>
      </c>
      <c r="M310" s="71" t="s">
        <v>34</v>
      </c>
      <c r="N310" s="71" t="s">
        <v>25</v>
      </c>
      <c r="O310" s="71"/>
      <c r="P310" s="71"/>
      <c r="Q310" s="71"/>
      <c r="R310" s="72" t="s">
        <v>76</v>
      </c>
      <c r="S310" s="73" t="s">
        <v>59</v>
      </c>
      <c r="T310" s="74">
        <v>22000</v>
      </c>
      <c r="U310" s="74"/>
      <c r="V310" s="74"/>
      <c r="W310" s="74"/>
      <c r="X310" s="74"/>
      <c r="Y310" s="74"/>
      <c r="Z310" s="75">
        <f t="shared" si="64"/>
        <v>22000</v>
      </c>
      <c r="AA310" s="73">
        <v>2015</v>
      </c>
      <c r="AB310" s="48"/>
      <c r="AC310" s="48"/>
      <c r="AD310" s="48"/>
      <c r="AE310" s="1"/>
      <c r="AF310" s="1"/>
    </row>
    <row r="311" spans="1:32" s="22" customFormat="1" ht="45" x14ac:dyDescent="0.25">
      <c r="A311" s="71" t="s">
        <v>23</v>
      </c>
      <c r="B311" s="71" t="s">
        <v>24</v>
      </c>
      <c r="C311" s="71" t="s">
        <v>25</v>
      </c>
      <c r="D311" s="71" t="s">
        <v>23</v>
      </c>
      <c r="E311" s="71" t="s">
        <v>33</v>
      </c>
      <c r="F311" s="71" t="s">
        <v>23</v>
      </c>
      <c r="G311" s="71" t="s">
        <v>31</v>
      </c>
      <c r="H311" s="71" t="s">
        <v>23</v>
      </c>
      <c r="I311" s="71" t="s">
        <v>31</v>
      </c>
      <c r="J311" s="71" t="s">
        <v>25</v>
      </c>
      <c r="K311" s="71" t="s">
        <v>23</v>
      </c>
      <c r="L311" s="71" t="s">
        <v>24</v>
      </c>
      <c r="M311" s="71" t="s">
        <v>24</v>
      </c>
      <c r="N311" s="71" t="s">
        <v>23</v>
      </c>
      <c r="O311" s="71" t="s">
        <v>39</v>
      </c>
      <c r="P311" s="71" t="s">
        <v>25</v>
      </c>
      <c r="Q311" s="71" t="s">
        <v>178</v>
      </c>
      <c r="R311" s="72" t="s">
        <v>76</v>
      </c>
      <c r="S311" s="73" t="s">
        <v>59</v>
      </c>
      <c r="T311" s="74"/>
      <c r="U311" s="74">
        <v>74550</v>
      </c>
      <c r="V311" s="74">
        <v>29610.799999999999</v>
      </c>
      <c r="W311" s="74"/>
      <c r="X311" s="74"/>
      <c r="Y311" s="74"/>
      <c r="Z311" s="75">
        <f t="shared" si="64"/>
        <v>104160.8</v>
      </c>
      <c r="AA311" s="73">
        <v>2017</v>
      </c>
      <c r="AB311" s="48"/>
      <c r="AC311" s="48"/>
      <c r="AD311" s="48"/>
      <c r="AE311" s="1"/>
      <c r="AF311" s="1"/>
    </row>
    <row r="312" spans="1:32" s="22" customFormat="1" ht="29.25" x14ac:dyDescent="0.25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5"/>
      <c r="R312" s="17" t="s">
        <v>77</v>
      </c>
      <c r="S312" s="15" t="s">
        <v>54</v>
      </c>
      <c r="T312" s="21">
        <v>3</v>
      </c>
      <c r="U312" s="21"/>
      <c r="V312" s="21"/>
      <c r="W312" s="21"/>
      <c r="X312" s="21"/>
      <c r="Y312" s="21"/>
      <c r="Z312" s="6">
        <f t="shared" si="64"/>
        <v>3</v>
      </c>
      <c r="AA312" s="15">
        <v>2015</v>
      </c>
      <c r="AB312" s="48"/>
      <c r="AC312" s="48"/>
      <c r="AD312" s="48"/>
      <c r="AE312" s="113"/>
      <c r="AF312" s="113"/>
    </row>
    <row r="313" spans="1:32" s="22" customFormat="1" ht="31.15" customHeight="1" x14ac:dyDescent="0.25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5"/>
      <c r="R313" s="17" t="s">
        <v>152</v>
      </c>
      <c r="S313" s="15" t="s">
        <v>10</v>
      </c>
      <c r="T313" s="21"/>
      <c r="U313" s="21">
        <v>50</v>
      </c>
      <c r="V313" s="21">
        <v>100</v>
      </c>
      <c r="W313" s="21"/>
      <c r="X313" s="21"/>
      <c r="Y313" s="21"/>
      <c r="Z313" s="6">
        <v>100</v>
      </c>
      <c r="AA313" s="15">
        <v>2017</v>
      </c>
      <c r="AB313" s="48"/>
      <c r="AC313" s="48"/>
      <c r="AD313" s="48"/>
      <c r="AE313" s="86"/>
      <c r="AF313" s="86"/>
    </row>
    <row r="314" spans="1:32" s="22" customFormat="1" ht="30" x14ac:dyDescent="0.25">
      <c r="A314" s="71" t="s">
        <v>23</v>
      </c>
      <c r="B314" s="71" t="s">
        <v>24</v>
      </c>
      <c r="C314" s="71" t="s">
        <v>25</v>
      </c>
      <c r="D314" s="71" t="s">
        <v>23</v>
      </c>
      <c r="E314" s="71" t="s">
        <v>33</v>
      </c>
      <c r="F314" s="71" t="s">
        <v>23</v>
      </c>
      <c r="G314" s="71" t="s">
        <v>31</v>
      </c>
      <c r="H314" s="71" t="s">
        <v>23</v>
      </c>
      <c r="I314" s="71" t="s">
        <v>31</v>
      </c>
      <c r="J314" s="71" t="s">
        <v>25</v>
      </c>
      <c r="K314" s="71" t="s">
        <v>23</v>
      </c>
      <c r="L314" s="71" t="s">
        <v>23</v>
      </c>
      <c r="M314" s="71" t="s">
        <v>23</v>
      </c>
      <c r="N314" s="71" t="s">
        <v>23</v>
      </c>
      <c r="O314" s="71" t="s">
        <v>23</v>
      </c>
      <c r="P314" s="71" t="s">
        <v>23</v>
      </c>
      <c r="Q314" s="71" t="s">
        <v>23</v>
      </c>
      <c r="R314" s="72" t="s">
        <v>71</v>
      </c>
      <c r="S314" s="73" t="s">
        <v>59</v>
      </c>
      <c r="T314" s="75">
        <f>T315+T316</f>
        <v>106123.9</v>
      </c>
      <c r="U314" s="75">
        <f>U315+U316+U317</f>
        <v>8200.7999999999993</v>
      </c>
      <c r="V314" s="75"/>
      <c r="W314" s="73"/>
      <c r="X314" s="73"/>
      <c r="Y314" s="73"/>
      <c r="Z314" s="75">
        <f t="shared" ref="Z314:Z319" si="66">T314+U314+V314+W314+X314+Y314</f>
        <v>114324.7</v>
      </c>
      <c r="AA314" s="73">
        <v>2016</v>
      </c>
      <c r="AB314" s="48"/>
      <c r="AC314" s="48"/>
      <c r="AD314" s="48"/>
      <c r="AE314" s="86"/>
      <c r="AF314" s="86"/>
    </row>
    <row r="315" spans="1:32" s="22" customFormat="1" ht="31.15" customHeight="1" x14ac:dyDescent="0.25">
      <c r="A315" s="71" t="s">
        <v>23</v>
      </c>
      <c r="B315" s="71" t="s">
        <v>24</v>
      </c>
      <c r="C315" s="71" t="s">
        <v>25</v>
      </c>
      <c r="D315" s="71" t="s">
        <v>23</v>
      </c>
      <c r="E315" s="71" t="s">
        <v>33</v>
      </c>
      <c r="F315" s="71" t="s">
        <v>23</v>
      </c>
      <c r="G315" s="71" t="s">
        <v>31</v>
      </c>
      <c r="H315" s="71" t="s">
        <v>23</v>
      </c>
      <c r="I315" s="71" t="s">
        <v>31</v>
      </c>
      <c r="J315" s="71" t="s">
        <v>25</v>
      </c>
      <c r="K315" s="71" t="s">
        <v>23</v>
      </c>
      <c r="L315" s="71" t="s">
        <v>24</v>
      </c>
      <c r="M315" s="71" t="s">
        <v>23</v>
      </c>
      <c r="N315" s="71" t="s">
        <v>23</v>
      </c>
      <c r="O315" s="71"/>
      <c r="P315" s="71"/>
      <c r="Q315" s="71"/>
      <c r="R315" s="72" t="s">
        <v>71</v>
      </c>
      <c r="S315" s="73" t="s">
        <v>59</v>
      </c>
      <c r="T315" s="74">
        <f>59700-6250-776.1</f>
        <v>52673.9</v>
      </c>
      <c r="U315" s="73"/>
      <c r="V315" s="73"/>
      <c r="W315" s="73"/>
      <c r="X315" s="73"/>
      <c r="Y315" s="73"/>
      <c r="Z315" s="75">
        <f t="shared" si="66"/>
        <v>52673.9</v>
      </c>
      <c r="AA315" s="73">
        <v>2015</v>
      </c>
      <c r="AB315" s="48"/>
      <c r="AC315" s="48"/>
      <c r="AD315" s="48"/>
      <c r="AE315" s="1"/>
      <c r="AF315" s="1"/>
    </row>
    <row r="316" spans="1:32" s="22" customFormat="1" ht="31.15" customHeight="1" x14ac:dyDescent="0.25">
      <c r="A316" s="71" t="s">
        <v>23</v>
      </c>
      <c r="B316" s="71" t="s">
        <v>24</v>
      </c>
      <c r="C316" s="71" t="s">
        <v>25</v>
      </c>
      <c r="D316" s="71" t="s">
        <v>23</v>
      </c>
      <c r="E316" s="71" t="s">
        <v>33</v>
      </c>
      <c r="F316" s="71" t="s">
        <v>23</v>
      </c>
      <c r="G316" s="71" t="s">
        <v>31</v>
      </c>
      <c r="H316" s="71" t="s">
        <v>23</v>
      </c>
      <c r="I316" s="71" t="s">
        <v>31</v>
      </c>
      <c r="J316" s="71" t="s">
        <v>25</v>
      </c>
      <c r="K316" s="71" t="s">
        <v>39</v>
      </c>
      <c r="L316" s="71" t="s">
        <v>35</v>
      </c>
      <c r="M316" s="71" t="s">
        <v>34</v>
      </c>
      <c r="N316" s="71" t="s">
        <v>25</v>
      </c>
      <c r="O316" s="71"/>
      <c r="P316" s="71"/>
      <c r="Q316" s="71"/>
      <c r="R316" s="72" t="s">
        <v>71</v>
      </c>
      <c r="S316" s="73" t="s">
        <v>59</v>
      </c>
      <c r="T316" s="74">
        <v>53450</v>
      </c>
      <c r="U316" s="73"/>
      <c r="V316" s="73"/>
      <c r="W316" s="73"/>
      <c r="X316" s="73"/>
      <c r="Y316" s="73"/>
      <c r="Z316" s="75">
        <f t="shared" si="66"/>
        <v>53450</v>
      </c>
      <c r="AA316" s="73">
        <v>2015</v>
      </c>
      <c r="AB316" s="48"/>
      <c r="AC316" s="48"/>
      <c r="AD316" s="48"/>
      <c r="AE316" s="1"/>
      <c r="AF316" s="1"/>
    </row>
    <row r="317" spans="1:32" s="22" customFormat="1" ht="31.15" customHeight="1" x14ac:dyDescent="0.25">
      <c r="A317" s="71" t="s">
        <v>23</v>
      </c>
      <c r="B317" s="71" t="s">
        <v>24</v>
      </c>
      <c r="C317" s="71" t="s">
        <v>25</v>
      </c>
      <c r="D317" s="71" t="s">
        <v>23</v>
      </c>
      <c r="E317" s="71" t="s">
        <v>33</v>
      </c>
      <c r="F317" s="71" t="s">
        <v>23</v>
      </c>
      <c r="G317" s="71" t="s">
        <v>31</v>
      </c>
      <c r="H317" s="71" t="s">
        <v>23</v>
      </c>
      <c r="I317" s="71" t="s">
        <v>31</v>
      </c>
      <c r="J317" s="71" t="s">
        <v>25</v>
      </c>
      <c r="K317" s="71" t="s">
        <v>23</v>
      </c>
      <c r="L317" s="71" t="s">
        <v>24</v>
      </c>
      <c r="M317" s="71" t="s">
        <v>24</v>
      </c>
      <c r="N317" s="71" t="s">
        <v>23</v>
      </c>
      <c r="O317" s="71" t="s">
        <v>39</v>
      </c>
      <c r="P317" s="71" t="s">
        <v>25</v>
      </c>
      <c r="Q317" s="71" t="s">
        <v>178</v>
      </c>
      <c r="R317" s="72" t="s">
        <v>71</v>
      </c>
      <c r="S317" s="73" t="s">
        <v>59</v>
      </c>
      <c r="T317" s="74"/>
      <c r="U317" s="74">
        <v>8200.7999999999993</v>
      </c>
      <c r="V317" s="74"/>
      <c r="W317" s="74"/>
      <c r="X317" s="74"/>
      <c r="Y317" s="74"/>
      <c r="Z317" s="75">
        <f t="shared" si="66"/>
        <v>8200.7999999999993</v>
      </c>
      <c r="AA317" s="73">
        <v>2016</v>
      </c>
      <c r="AB317" s="94"/>
      <c r="AC317" s="48"/>
      <c r="AD317" s="48"/>
      <c r="AE317" s="1"/>
      <c r="AF317" s="1"/>
    </row>
    <row r="318" spans="1:32" s="1" customFormat="1" ht="51" x14ac:dyDescent="0.25">
      <c r="A318" s="41"/>
      <c r="B318" s="41"/>
      <c r="C318" s="41"/>
      <c r="D318" s="41"/>
      <c r="E318" s="41"/>
      <c r="F318" s="41"/>
      <c r="G318" s="41"/>
      <c r="H318" s="41"/>
      <c r="I318" s="41"/>
      <c r="J318" s="41"/>
      <c r="K318" s="41"/>
      <c r="L318" s="41"/>
      <c r="M318" s="41"/>
      <c r="N318" s="41"/>
      <c r="O318" s="41"/>
      <c r="P318" s="41"/>
      <c r="Q318" s="41"/>
      <c r="R318" s="17" t="s">
        <v>72</v>
      </c>
      <c r="S318" s="49" t="s">
        <v>73</v>
      </c>
      <c r="T318" s="8">
        <v>14.6</v>
      </c>
      <c r="U318" s="29">
        <v>7.0000000000000007E-2</v>
      </c>
      <c r="V318" s="15"/>
      <c r="W318" s="15"/>
      <c r="X318" s="15"/>
      <c r="Y318" s="15"/>
      <c r="Z318" s="98">
        <f t="shared" si="66"/>
        <v>14.67</v>
      </c>
      <c r="AA318" s="15">
        <v>2016</v>
      </c>
      <c r="AB318" s="48"/>
      <c r="AC318" s="48"/>
      <c r="AD318" s="48"/>
    </row>
    <row r="319" spans="1:32" s="22" customFormat="1" ht="51" x14ac:dyDescent="0.25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5"/>
      <c r="R319" s="17" t="s">
        <v>74</v>
      </c>
      <c r="S319" s="49" t="s">
        <v>73</v>
      </c>
      <c r="T319" s="8">
        <v>7.1</v>
      </c>
      <c r="U319" s="29">
        <v>0.22</v>
      </c>
      <c r="V319" s="21"/>
      <c r="W319" s="21"/>
      <c r="X319" s="21"/>
      <c r="Y319" s="21"/>
      <c r="Z319" s="98">
        <f t="shared" si="66"/>
        <v>7.3199999999999994</v>
      </c>
      <c r="AA319" s="15">
        <v>2016</v>
      </c>
      <c r="AB319" s="48"/>
      <c r="AC319" s="48"/>
      <c r="AD319" s="48"/>
      <c r="AE319" s="1"/>
      <c r="AF319" s="1"/>
    </row>
    <row r="320" spans="1:32" s="22" customFormat="1" ht="75" x14ac:dyDescent="0.25">
      <c r="A320" s="71"/>
      <c r="B320" s="71"/>
      <c r="C320" s="71"/>
      <c r="D320" s="71" t="s">
        <v>23</v>
      </c>
      <c r="E320" s="71" t="s">
        <v>33</v>
      </c>
      <c r="F320" s="71" t="s">
        <v>23</v>
      </c>
      <c r="G320" s="71" t="s">
        <v>31</v>
      </c>
      <c r="H320" s="71" t="s">
        <v>23</v>
      </c>
      <c r="I320" s="71" t="s">
        <v>31</v>
      </c>
      <c r="J320" s="71" t="s">
        <v>25</v>
      </c>
      <c r="K320" s="71" t="s">
        <v>23</v>
      </c>
      <c r="L320" s="71" t="s">
        <v>24</v>
      </c>
      <c r="M320" s="71" t="s">
        <v>23</v>
      </c>
      <c r="N320" s="71" t="s">
        <v>23</v>
      </c>
      <c r="O320" s="71" t="s">
        <v>23</v>
      </c>
      <c r="P320" s="71" t="s">
        <v>23</v>
      </c>
      <c r="Q320" s="71" t="s">
        <v>23</v>
      </c>
      <c r="R320" s="72" t="s">
        <v>176</v>
      </c>
      <c r="S320" s="73" t="s">
        <v>59</v>
      </c>
      <c r="T320" s="74"/>
      <c r="U320" s="75">
        <f>U321+U322</f>
        <v>252457.90000000002</v>
      </c>
      <c r="V320" s="75">
        <f>V322</f>
        <v>170000</v>
      </c>
      <c r="W320" s="75">
        <f t="shared" ref="W320:Y320" si="67">W322</f>
        <v>103000</v>
      </c>
      <c r="X320" s="75">
        <f t="shared" si="67"/>
        <v>93700</v>
      </c>
      <c r="Y320" s="75">
        <f t="shared" si="67"/>
        <v>110160</v>
      </c>
      <c r="Z320" s="75">
        <f>Z321+Z322</f>
        <v>729317.89999999991</v>
      </c>
      <c r="AA320" s="73">
        <v>2020</v>
      </c>
      <c r="AB320" s="48"/>
      <c r="AC320" s="48"/>
      <c r="AD320" s="48"/>
      <c r="AE320" s="113"/>
      <c r="AF320" s="113"/>
    </row>
    <row r="321" spans="1:32" s="22" customFormat="1" ht="75" x14ac:dyDescent="0.25">
      <c r="A321" s="71" t="s">
        <v>23</v>
      </c>
      <c r="B321" s="71" t="s">
        <v>24</v>
      </c>
      <c r="C321" s="71" t="s">
        <v>25</v>
      </c>
      <c r="D321" s="71" t="s">
        <v>23</v>
      </c>
      <c r="E321" s="71" t="s">
        <v>33</v>
      </c>
      <c r="F321" s="71" t="s">
        <v>23</v>
      </c>
      <c r="G321" s="71" t="s">
        <v>31</v>
      </c>
      <c r="H321" s="71" t="s">
        <v>23</v>
      </c>
      <c r="I321" s="71" t="s">
        <v>31</v>
      </c>
      <c r="J321" s="71" t="s">
        <v>25</v>
      </c>
      <c r="K321" s="71" t="s">
        <v>23</v>
      </c>
      <c r="L321" s="71" t="s">
        <v>24</v>
      </c>
      <c r="M321" s="71" t="s">
        <v>23</v>
      </c>
      <c r="N321" s="71" t="s">
        <v>23</v>
      </c>
      <c r="O321" s="71" t="s">
        <v>23</v>
      </c>
      <c r="P321" s="71" t="s">
        <v>23</v>
      </c>
      <c r="Q321" s="71" t="s">
        <v>23</v>
      </c>
      <c r="R321" s="72" t="s">
        <v>176</v>
      </c>
      <c r="S321" s="73" t="s">
        <v>59</v>
      </c>
      <c r="T321" s="74"/>
      <c r="U321" s="74">
        <v>170747.7</v>
      </c>
      <c r="V321" s="74"/>
      <c r="W321" s="74"/>
      <c r="X321" s="74"/>
      <c r="Y321" s="74"/>
      <c r="Z321" s="75">
        <f t="shared" ref="Z321:Z322" si="68">T321+U321+V321+W321+X321+Y321</f>
        <v>170747.7</v>
      </c>
      <c r="AA321" s="73">
        <v>2016</v>
      </c>
      <c r="AB321" s="48"/>
      <c r="AC321" s="48"/>
      <c r="AD321" s="48"/>
      <c r="AE321" s="99"/>
      <c r="AF321" s="99"/>
    </row>
    <row r="322" spans="1:32" s="22" customFormat="1" ht="75" x14ac:dyDescent="0.25">
      <c r="A322" s="71" t="s">
        <v>23</v>
      </c>
      <c r="B322" s="71" t="s">
        <v>24</v>
      </c>
      <c r="C322" s="71" t="s">
        <v>31</v>
      </c>
      <c r="D322" s="71" t="s">
        <v>23</v>
      </c>
      <c r="E322" s="71" t="s">
        <v>33</v>
      </c>
      <c r="F322" s="71" t="s">
        <v>23</v>
      </c>
      <c r="G322" s="71" t="s">
        <v>31</v>
      </c>
      <c r="H322" s="71" t="s">
        <v>23</v>
      </c>
      <c r="I322" s="71" t="s">
        <v>31</v>
      </c>
      <c r="J322" s="71" t="s">
        <v>25</v>
      </c>
      <c r="K322" s="71" t="s">
        <v>23</v>
      </c>
      <c r="L322" s="71" t="s">
        <v>24</v>
      </c>
      <c r="M322" s="71" t="s">
        <v>23</v>
      </c>
      <c r="N322" s="71" t="s">
        <v>23</v>
      </c>
      <c r="O322" s="71" t="s">
        <v>23</v>
      </c>
      <c r="P322" s="71" t="s">
        <v>23</v>
      </c>
      <c r="Q322" s="71" t="s">
        <v>23</v>
      </c>
      <c r="R322" s="72" t="s">
        <v>176</v>
      </c>
      <c r="S322" s="73" t="s">
        <v>59</v>
      </c>
      <c r="T322" s="74"/>
      <c r="U322" s="74">
        <f>26710.2+30000+25000</f>
        <v>81710.2</v>
      </c>
      <c r="V322" s="74">
        <v>170000</v>
      </c>
      <c r="W322" s="74">
        <v>103000</v>
      </c>
      <c r="X322" s="74">
        <v>93700</v>
      </c>
      <c r="Y322" s="74">
        <v>110160</v>
      </c>
      <c r="Z322" s="75">
        <f t="shared" si="68"/>
        <v>558570.19999999995</v>
      </c>
      <c r="AA322" s="73">
        <v>2020</v>
      </c>
      <c r="AB322" s="48"/>
      <c r="AC322" s="48"/>
      <c r="AD322" s="48"/>
      <c r="AE322" s="99"/>
      <c r="AF322" s="99"/>
    </row>
    <row r="323" spans="1:32" s="22" customFormat="1" ht="31.9" customHeight="1" x14ac:dyDescent="0.25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5"/>
      <c r="R323" s="17" t="s">
        <v>142</v>
      </c>
      <c r="S323" s="15" t="s">
        <v>10</v>
      </c>
      <c r="T323" s="21"/>
      <c r="U323" s="21">
        <v>100</v>
      </c>
      <c r="V323" s="21">
        <v>100</v>
      </c>
      <c r="W323" s="21">
        <v>100</v>
      </c>
      <c r="X323" s="21">
        <v>100</v>
      </c>
      <c r="Y323" s="21">
        <v>100</v>
      </c>
      <c r="Z323" s="6">
        <v>100</v>
      </c>
      <c r="AA323" s="15">
        <v>2020</v>
      </c>
      <c r="AB323" s="48"/>
      <c r="AC323" s="48"/>
      <c r="AD323" s="48"/>
      <c r="AE323" s="1"/>
      <c r="AF323" s="1"/>
    </row>
    <row r="324" spans="1:32" ht="71.25" x14ac:dyDescent="0.25">
      <c r="A324" s="20">
        <v>0</v>
      </c>
      <c r="B324" s="20">
        <v>1</v>
      </c>
      <c r="C324" s="20">
        <v>8</v>
      </c>
      <c r="D324" s="20">
        <v>0</v>
      </c>
      <c r="E324" s="20">
        <v>4</v>
      </c>
      <c r="F324" s="20">
        <v>0</v>
      </c>
      <c r="G324" s="20">
        <v>8</v>
      </c>
      <c r="H324" s="20">
        <v>0</v>
      </c>
      <c r="I324" s="63" t="s">
        <v>31</v>
      </c>
      <c r="J324" s="63" t="s">
        <v>25</v>
      </c>
      <c r="K324" s="63" t="s">
        <v>23</v>
      </c>
      <c r="L324" s="63" t="s">
        <v>25</v>
      </c>
      <c r="M324" s="63" t="s">
        <v>23</v>
      </c>
      <c r="N324" s="63" t="s">
        <v>23</v>
      </c>
      <c r="O324" s="63" t="s">
        <v>23</v>
      </c>
      <c r="P324" s="63" t="s">
        <v>23</v>
      </c>
      <c r="Q324" s="63" t="s">
        <v>23</v>
      </c>
      <c r="R324" s="64" t="s">
        <v>46</v>
      </c>
      <c r="S324" s="28" t="s">
        <v>45</v>
      </c>
      <c r="T324" s="31">
        <v>1</v>
      </c>
      <c r="U324" s="31">
        <v>1</v>
      </c>
      <c r="V324" s="31">
        <v>1</v>
      </c>
      <c r="W324" s="31">
        <v>1</v>
      </c>
      <c r="X324" s="31">
        <v>1</v>
      </c>
      <c r="Y324" s="31">
        <v>1</v>
      </c>
      <c r="Z324" s="31">
        <v>1</v>
      </c>
      <c r="AA324" s="28">
        <v>2020</v>
      </c>
    </row>
    <row r="325" spans="1:32" ht="30" x14ac:dyDescent="0.25">
      <c r="A325" s="41"/>
      <c r="B325" s="41"/>
      <c r="C325" s="41"/>
      <c r="D325" s="41"/>
      <c r="E325" s="41"/>
      <c r="F325" s="41"/>
      <c r="G325" s="41"/>
      <c r="H325" s="41"/>
      <c r="I325" s="41"/>
      <c r="J325" s="41"/>
      <c r="K325" s="41"/>
      <c r="L325" s="41"/>
      <c r="M325" s="41"/>
      <c r="N325" s="41"/>
      <c r="O325" s="41"/>
      <c r="P325" s="41"/>
      <c r="Q325" s="41"/>
      <c r="R325" s="17" t="s">
        <v>153</v>
      </c>
      <c r="S325" s="15" t="s">
        <v>55</v>
      </c>
      <c r="T325" s="21">
        <f t="shared" ref="T325" si="69">T328+T330</f>
        <v>165</v>
      </c>
      <c r="U325" s="21">
        <f>U330</f>
        <v>210</v>
      </c>
      <c r="V325" s="21">
        <f t="shared" ref="V325:Y325" si="70">V330</f>
        <v>210</v>
      </c>
      <c r="W325" s="21">
        <f t="shared" si="70"/>
        <v>200</v>
      </c>
      <c r="X325" s="21">
        <f t="shared" si="70"/>
        <v>200</v>
      </c>
      <c r="Y325" s="21">
        <f t="shared" si="70"/>
        <v>200</v>
      </c>
      <c r="Z325" s="6">
        <f>T325+U325+V325+W325+X325+Y325</f>
        <v>1185</v>
      </c>
      <c r="AA325" s="15">
        <v>2020</v>
      </c>
    </row>
    <row r="326" spans="1:32" ht="30" customHeight="1" x14ac:dyDescent="0.25">
      <c r="A326" s="41"/>
      <c r="B326" s="41"/>
      <c r="C326" s="41"/>
      <c r="D326" s="41"/>
      <c r="E326" s="41"/>
      <c r="F326" s="41"/>
      <c r="G326" s="41"/>
      <c r="H326" s="41"/>
      <c r="I326" s="41"/>
      <c r="J326" s="41"/>
      <c r="K326" s="41"/>
      <c r="L326" s="41"/>
      <c r="M326" s="41"/>
      <c r="N326" s="41"/>
      <c r="O326" s="41"/>
      <c r="P326" s="41"/>
      <c r="Q326" s="41"/>
      <c r="R326" s="17" t="s">
        <v>154</v>
      </c>
      <c r="S326" s="15" t="s">
        <v>59</v>
      </c>
      <c r="T326" s="8">
        <v>215</v>
      </c>
      <c r="U326" s="8">
        <f>207*1.6</f>
        <v>331.20000000000005</v>
      </c>
      <c r="V326" s="8">
        <f>V330*1.6</f>
        <v>336</v>
      </c>
      <c r="W326" s="8">
        <f t="shared" ref="W326:Y326" si="71">200*1.6</f>
        <v>320</v>
      </c>
      <c r="X326" s="8">
        <f t="shared" si="71"/>
        <v>320</v>
      </c>
      <c r="Y326" s="8">
        <f t="shared" si="71"/>
        <v>320</v>
      </c>
      <c r="Z326" s="5">
        <f>T326+U326+V326+W326+X326+Y326</f>
        <v>1842.2</v>
      </c>
      <c r="AA326" s="15">
        <v>2020</v>
      </c>
    </row>
    <row r="327" spans="1:32" ht="59.45" customHeight="1" x14ac:dyDescent="0.25">
      <c r="A327" s="71"/>
      <c r="B327" s="71"/>
      <c r="C327" s="71"/>
      <c r="D327" s="71"/>
      <c r="E327" s="71"/>
      <c r="F327" s="71"/>
      <c r="G327" s="71"/>
      <c r="H327" s="71"/>
      <c r="I327" s="71"/>
      <c r="J327" s="71"/>
      <c r="K327" s="71"/>
      <c r="L327" s="71"/>
      <c r="M327" s="71"/>
      <c r="N327" s="71"/>
      <c r="O327" s="71"/>
      <c r="P327" s="71"/>
      <c r="Q327" s="71"/>
      <c r="R327" s="72" t="s">
        <v>200</v>
      </c>
      <c r="S327" s="73" t="s">
        <v>45</v>
      </c>
      <c r="T327" s="77">
        <v>1</v>
      </c>
      <c r="U327" s="77">
        <v>1</v>
      </c>
      <c r="V327" s="77">
        <v>1</v>
      </c>
      <c r="W327" s="77">
        <v>1</v>
      </c>
      <c r="X327" s="77">
        <v>1</v>
      </c>
      <c r="Y327" s="77">
        <v>1</v>
      </c>
      <c r="Z327" s="77">
        <v>1</v>
      </c>
      <c r="AA327" s="73">
        <v>2020</v>
      </c>
    </row>
    <row r="328" spans="1:32" ht="30" x14ac:dyDescent="0.25">
      <c r="A328" s="41"/>
      <c r="B328" s="41"/>
      <c r="C328" s="41"/>
      <c r="D328" s="41"/>
      <c r="E328" s="41"/>
      <c r="F328" s="41"/>
      <c r="G328" s="41"/>
      <c r="H328" s="41"/>
      <c r="I328" s="41"/>
      <c r="J328" s="41"/>
      <c r="K328" s="41"/>
      <c r="L328" s="41"/>
      <c r="M328" s="41"/>
      <c r="N328" s="41"/>
      <c r="O328" s="41"/>
      <c r="P328" s="41"/>
      <c r="Q328" s="41"/>
      <c r="R328" s="17" t="s">
        <v>201</v>
      </c>
      <c r="S328" s="15" t="s">
        <v>55</v>
      </c>
      <c r="T328" s="21">
        <v>45</v>
      </c>
      <c r="U328" s="21">
        <v>205</v>
      </c>
      <c r="V328" s="21">
        <v>190</v>
      </c>
      <c r="W328" s="21">
        <v>125</v>
      </c>
      <c r="X328" s="21">
        <v>125</v>
      </c>
      <c r="Y328" s="21">
        <v>125</v>
      </c>
      <c r="Z328" s="6">
        <f>T328+U328+V328+W328+X328+Y328</f>
        <v>815</v>
      </c>
      <c r="AA328" s="15">
        <v>2020</v>
      </c>
    </row>
    <row r="329" spans="1:32" ht="58.9" customHeight="1" x14ac:dyDescent="0.25">
      <c r="A329" s="71"/>
      <c r="B329" s="71"/>
      <c r="C329" s="71"/>
      <c r="D329" s="71"/>
      <c r="E329" s="71"/>
      <c r="F329" s="71"/>
      <c r="G329" s="71"/>
      <c r="H329" s="71"/>
      <c r="I329" s="71"/>
      <c r="J329" s="71"/>
      <c r="K329" s="71"/>
      <c r="L329" s="71"/>
      <c r="M329" s="71"/>
      <c r="N329" s="71"/>
      <c r="O329" s="71"/>
      <c r="P329" s="71"/>
      <c r="Q329" s="71"/>
      <c r="R329" s="72" t="s">
        <v>202</v>
      </c>
      <c r="S329" s="73" t="s">
        <v>45</v>
      </c>
      <c r="T329" s="77">
        <v>1</v>
      </c>
      <c r="U329" s="77">
        <v>1</v>
      </c>
      <c r="V329" s="77">
        <v>1</v>
      </c>
      <c r="W329" s="77">
        <v>1</v>
      </c>
      <c r="X329" s="77">
        <v>1</v>
      </c>
      <c r="Y329" s="77">
        <v>1</v>
      </c>
      <c r="Z329" s="77">
        <v>1</v>
      </c>
      <c r="AA329" s="73">
        <v>2020</v>
      </c>
    </row>
    <row r="330" spans="1:32" ht="46.9" customHeight="1" x14ac:dyDescent="0.25">
      <c r="A330" s="41"/>
      <c r="B330" s="41"/>
      <c r="C330" s="41"/>
      <c r="D330" s="41"/>
      <c r="E330" s="41"/>
      <c r="F330" s="41"/>
      <c r="G330" s="41"/>
      <c r="H330" s="41"/>
      <c r="I330" s="41"/>
      <c r="J330" s="41"/>
      <c r="K330" s="41"/>
      <c r="L330" s="41"/>
      <c r="M330" s="41"/>
      <c r="N330" s="41"/>
      <c r="O330" s="41"/>
      <c r="P330" s="41"/>
      <c r="Q330" s="41"/>
      <c r="R330" s="17" t="s">
        <v>203</v>
      </c>
      <c r="S330" s="15" t="s">
        <v>55</v>
      </c>
      <c r="T330" s="21">
        <v>120</v>
      </c>
      <c r="U330" s="21">
        <v>210</v>
      </c>
      <c r="V330" s="21">
        <v>210</v>
      </c>
      <c r="W330" s="21">
        <v>200</v>
      </c>
      <c r="X330" s="21">
        <v>200</v>
      </c>
      <c r="Y330" s="21">
        <v>200</v>
      </c>
      <c r="Z330" s="6">
        <f>T330+U330+V330+W330+X330+Y330</f>
        <v>1140</v>
      </c>
      <c r="AA330" s="18">
        <v>2020</v>
      </c>
    </row>
    <row r="331" spans="1:32" s="22" customFormat="1" ht="45" x14ac:dyDescent="0.25">
      <c r="A331" s="71"/>
      <c r="B331" s="71"/>
      <c r="C331" s="71"/>
      <c r="D331" s="71"/>
      <c r="E331" s="71"/>
      <c r="F331" s="71"/>
      <c r="G331" s="71"/>
      <c r="H331" s="71"/>
      <c r="I331" s="71"/>
      <c r="J331" s="71"/>
      <c r="K331" s="71"/>
      <c r="L331" s="71"/>
      <c r="M331" s="71"/>
      <c r="N331" s="71"/>
      <c r="O331" s="71"/>
      <c r="P331" s="71"/>
      <c r="Q331" s="71"/>
      <c r="R331" s="72" t="s">
        <v>204</v>
      </c>
      <c r="S331" s="73" t="s">
        <v>45</v>
      </c>
      <c r="T331" s="77">
        <v>1</v>
      </c>
      <c r="U331" s="77">
        <v>1</v>
      </c>
      <c r="V331" s="77">
        <v>1</v>
      </c>
      <c r="W331" s="77">
        <v>1</v>
      </c>
      <c r="X331" s="77">
        <v>1</v>
      </c>
      <c r="Y331" s="77">
        <v>1</v>
      </c>
      <c r="Z331" s="77">
        <v>1</v>
      </c>
      <c r="AA331" s="73">
        <v>2020</v>
      </c>
      <c r="AB331" s="48"/>
      <c r="AC331" s="48"/>
      <c r="AD331" s="48"/>
      <c r="AE331" s="1"/>
      <c r="AF331" s="1"/>
    </row>
    <row r="332" spans="1:32" s="1" customFormat="1" ht="45" customHeight="1" x14ac:dyDescent="0.25">
      <c r="A332" s="41"/>
      <c r="B332" s="41"/>
      <c r="C332" s="41"/>
      <c r="D332" s="41"/>
      <c r="E332" s="41"/>
      <c r="F332" s="41"/>
      <c r="G332" s="41"/>
      <c r="H332" s="41"/>
      <c r="I332" s="41"/>
      <c r="J332" s="41"/>
      <c r="K332" s="41"/>
      <c r="L332" s="41"/>
      <c r="M332" s="41"/>
      <c r="N332" s="41"/>
      <c r="O332" s="41"/>
      <c r="P332" s="41"/>
      <c r="Q332" s="41"/>
      <c r="R332" s="17" t="s">
        <v>205</v>
      </c>
      <c r="S332" s="15" t="s">
        <v>55</v>
      </c>
      <c r="T332" s="21">
        <f>700+250</f>
        <v>950</v>
      </c>
      <c r="U332" s="21">
        <v>1085</v>
      </c>
      <c r="V332" s="21">
        <v>1400</v>
      </c>
      <c r="W332" s="21">
        <v>1000</v>
      </c>
      <c r="X332" s="21">
        <v>1000</v>
      </c>
      <c r="Y332" s="21">
        <v>1000</v>
      </c>
      <c r="Z332" s="6">
        <f>T332+U332+V332+W332+X332+Y332</f>
        <v>6435</v>
      </c>
      <c r="AA332" s="15">
        <v>2020</v>
      </c>
      <c r="AB332" s="48"/>
      <c r="AC332" s="48"/>
      <c r="AD332" s="48"/>
    </row>
    <row r="333" spans="1:32" s="2" customFormat="1" ht="26.25" hidden="1" customHeight="1" x14ac:dyDescent="0.25">
      <c r="A333" s="67"/>
      <c r="B333" s="67"/>
      <c r="C333" s="67"/>
      <c r="D333" s="67"/>
      <c r="E333" s="67"/>
      <c r="F333" s="67"/>
      <c r="G333" s="67"/>
      <c r="H333" s="68"/>
      <c r="I333" s="67"/>
      <c r="J333" s="67"/>
      <c r="K333" s="67"/>
      <c r="L333" s="67"/>
      <c r="M333" s="67"/>
      <c r="N333" s="67"/>
      <c r="O333" s="67"/>
      <c r="P333" s="67"/>
      <c r="Q333" s="33"/>
      <c r="R333" s="56" t="s">
        <v>8</v>
      </c>
      <c r="S333" s="32" t="s">
        <v>1</v>
      </c>
      <c r="T333" s="4">
        <f t="shared" ref="T333:Y333" si="72">T335+T336</f>
        <v>41792.9</v>
      </c>
      <c r="U333" s="4">
        <f t="shared" si="72"/>
        <v>42055.9</v>
      </c>
      <c r="V333" s="4">
        <f t="shared" si="72"/>
        <v>44284.9</v>
      </c>
      <c r="W333" s="4">
        <f t="shared" si="72"/>
        <v>46100.6</v>
      </c>
      <c r="X333" s="4">
        <f t="shared" si="72"/>
        <v>47760.2</v>
      </c>
      <c r="Y333" s="4">
        <f t="shared" si="72"/>
        <v>49288.5</v>
      </c>
      <c r="Z333" s="4">
        <f>T333+U333+V333+W333+X333+Y333</f>
        <v>271283</v>
      </c>
      <c r="AA333" s="33">
        <v>2020</v>
      </c>
      <c r="AB333" s="42"/>
      <c r="AC333" s="42"/>
      <c r="AD333" s="42"/>
      <c r="AE333" s="43"/>
      <c r="AF333" s="43"/>
    </row>
    <row r="334" spans="1:32" s="22" customFormat="1" ht="42.75" hidden="1" x14ac:dyDescent="0.25">
      <c r="A334" s="17"/>
      <c r="B334" s="17"/>
      <c r="C334" s="17"/>
      <c r="D334" s="17"/>
      <c r="E334" s="17"/>
      <c r="F334" s="17"/>
      <c r="G334" s="17"/>
      <c r="H334" s="40"/>
      <c r="I334" s="17"/>
      <c r="J334" s="17"/>
      <c r="K334" s="17"/>
      <c r="L334" s="17"/>
      <c r="M334" s="17"/>
      <c r="N334" s="17"/>
      <c r="O334" s="17"/>
      <c r="P334" s="17"/>
      <c r="Q334" s="15"/>
      <c r="R334" s="39" t="s">
        <v>41</v>
      </c>
      <c r="S334" s="27"/>
      <c r="T334" s="5"/>
      <c r="U334" s="5"/>
      <c r="V334" s="5"/>
      <c r="W334" s="5"/>
      <c r="X334" s="5"/>
      <c r="Y334" s="5"/>
      <c r="Z334" s="5"/>
      <c r="AA334" s="15"/>
      <c r="AB334" s="48"/>
      <c r="AC334" s="48"/>
      <c r="AD334" s="48"/>
      <c r="AE334" s="1"/>
      <c r="AF334" s="1"/>
    </row>
    <row r="335" spans="1:32" ht="25.9" hidden="1" customHeight="1" x14ac:dyDescent="0.25">
      <c r="A335" s="12" t="s">
        <v>23</v>
      </c>
      <c r="B335" s="12" t="s">
        <v>24</v>
      </c>
      <c r="C335" s="12" t="s">
        <v>25</v>
      </c>
      <c r="D335" s="12" t="s">
        <v>23</v>
      </c>
      <c r="E335" s="12" t="s">
        <v>30</v>
      </c>
      <c r="F335" s="12" t="s">
        <v>23</v>
      </c>
      <c r="G335" s="12" t="s">
        <v>30</v>
      </c>
      <c r="H335" s="12" t="s">
        <v>23</v>
      </c>
      <c r="I335" s="12" t="s">
        <v>31</v>
      </c>
      <c r="J335" s="12" t="s">
        <v>32</v>
      </c>
      <c r="K335" s="12" t="s">
        <v>23</v>
      </c>
      <c r="L335" s="12" t="s">
        <v>30</v>
      </c>
      <c r="M335" s="12"/>
      <c r="N335" s="12"/>
      <c r="O335" s="12"/>
      <c r="P335" s="12" t="s">
        <v>23</v>
      </c>
      <c r="Q335" s="12" t="s">
        <v>23</v>
      </c>
      <c r="R335" s="9" t="s">
        <v>155</v>
      </c>
      <c r="S335" s="13" t="s">
        <v>1</v>
      </c>
      <c r="T335" s="11">
        <v>41537</v>
      </c>
      <c r="U335" s="11">
        <v>41800</v>
      </c>
      <c r="V335" s="11">
        <v>44015.4</v>
      </c>
      <c r="W335" s="11">
        <v>45820</v>
      </c>
      <c r="X335" s="11">
        <v>47469.5</v>
      </c>
      <c r="Y335" s="11">
        <v>48988.5</v>
      </c>
      <c r="Z335" s="10">
        <f>T335+U335+V335+W335+X335+Y335</f>
        <v>269630.40000000002</v>
      </c>
      <c r="AA335" s="13">
        <v>2020</v>
      </c>
    </row>
    <row r="336" spans="1:32" ht="39" hidden="1" customHeight="1" x14ac:dyDescent="0.25">
      <c r="A336" s="12" t="s">
        <v>23</v>
      </c>
      <c r="B336" s="12" t="s">
        <v>24</v>
      </c>
      <c r="C336" s="12" t="s">
        <v>25</v>
      </c>
      <c r="D336" s="12" t="s">
        <v>23</v>
      </c>
      <c r="E336" s="12" t="s">
        <v>30</v>
      </c>
      <c r="F336" s="12" t="s">
        <v>23</v>
      </c>
      <c r="G336" s="12" t="s">
        <v>30</v>
      </c>
      <c r="H336" s="12" t="s">
        <v>23</v>
      </c>
      <c r="I336" s="12" t="s">
        <v>31</v>
      </c>
      <c r="J336" s="12" t="s">
        <v>32</v>
      </c>
      <c r="K336" s="12" t="s">
        <v>39</v>
      </c>
      <c r="L336" s="12" t="s">
        <v>30</v>
      </c>
      <c r="M336" s="12"/>
      <c r="N336" s="12"/>
      <c r="O336" s="12"/>
      <c r="P336" s="12" t="s">
        <v>25</v>
      </c>
      <c r="Q336" s="12" t="s">
        <v>25</v>
      </c>
      <c r="R336" s="9" t="s">
        <v>156</v>
      </c>
      <c r="S336" s="13" t="s">
        <v>1</v>
      </c>
      <c r="T336" s="34">
        <v>255.9</v>
      </c>
      <c r="U336" s="34">
        <v>255.9</v>
      </c>
      <c r="V336" s="34">
        <v>269.5</v>
      </c>
      <c r="W336" s="34">
        <v>280.60000000000002</v>
      </c>
      <c r="X336" s="34">
        <v>290.7</v>
      </c>
      <c r="Y336" s="34">
        <v>300</v>
      </c>
      <c r="Z336" s="10">
        <f>T336+U336+V336+W336+X336+Y336</f>
        <v>1652.6000000000001</v>
      </c>
      <c r="AA336" s="35">
        <v>2020</v>
      </c>
    </row>
    <row r="337" spans="1:32" s="22" customFormat="1" ht="25.9" hidden="1" customHeight="1" x14ac:dyDescent="0.25">
      <c r="A337" s="41"/>
      <c r="B337" s="41"/>
      <c r="C337" s="41"/>
      <c r="D337" s="41"/>
      <c r="E337" s="41"/>
      <c r="F337" s="41"/>
      <c r="G337" s="41"/>
      <c r="H337" s="41"/>
      <c r="I337" s="41"/>
      <c r="J337" s="41"/>
      <c r="K337" s="41"/>
      <c r="L337" s="41"/>
      <c r="M337" s="41"/>
      <c r="N337" s="41"/>
      <c r="O337" s="41"/>
      <c r="P337" s="41"/>
      <c r="Q337" s="41"/>
      <c r="R337" s="39" t="s">
        <v>42</v>
      </c>
      <c r="S337" s="15"/>
      <c r="T337" s="8"/>
      <c r="U337" s="8"/>
      <c r="V337" s="8"/>
      <c r="W337" s="8"/>
      <c r="X337" s="8"/>
      <c r="Y337" s="8"/>
      <c r="Z337" s="5"/>
      <c r="AA337" s="19"/>
      <c r="AB337" s="48"/>
      <c r="AC337" s="48"/>
      <c r="AD337" s="48"/>
      <c r="AE337" s="1"/>
      <c r="AF337" s="1"/>
    </row>
    <row r="338" spans="1:32" s="22" customFormat="1" ht="30" hidden="1" x14ac:dyDescent="0.25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9" t="s">
        <v>157</v>
      </c>
      <c r="S338" s="13" t="s">
        <v>19</v>
      </c>
      <c r="T338" s="11" t="s">
        <v>20</v>
      </c>
      <c r="U338" s="11" t="s">
        <v>20</v>
      </c>
      <c r="V338" s="11" t="s">
        <v>20</v>
      </c>
      <c r="W338" s="11" t="s">
        <v>20</v>
      </c>
      <c r="X338" s="11" t="s">
        <v>20</v>
      </c>
      <c r="Y338" s="11" t="s">
        <v>20</v>
      </c>
      <c r="Z338" s="11" t="s">
        <v>20</v>
      </c>
      <c r="AA338" s="13">
        <v>2020</v>
      </c>
      <c r="AB338" s="48"/>
      <c r="AC338" s="48"/>
      <c r="AD338" s="48"/>
      <c r="AE338" s="1"/>
      <c r="AF338" s="1"/>
    </row>
    <row r="339" spans="1:32" s="22" customFormat="1" ht="45" hidden="1" x14ac:dyDescent="0.25">
      <c r="A339" s="41"/>
      <c r="B339" s="41"/>
      <c r="C339" s="41"/>
      <c r="D339" s="41"/>
      <c r="E339" s="41"/>
      <c r="F339" s="41"/>
      <c r="G339" s="41"/>
      <c r="H339" s="41"/>
      <c r="I339" s="41"/>
      <c r="J339" s="41"/>
      <c r="K339" s="41"/>
      <c r="L339" s="41"/>
      <c r="M339" s="41"/>
      <c r="N339" s="41"/>
      <c r="O339" s="41"/>
      <c r="P339" s="41"/>
      <c r="Q339" s="41"/>
      <c r="R339" s="17" t="s">
        <v>158</v>
      </c>
      <c r="S339" s="15" t="s">
        <v>9</v>
      </c>
      <c r="T339" s="18">
        <v>500</v>
      </c>
      <c r="U339" s="18">
        <v>500</v>
      </c>
      <c r="V339" s="18">
        <v>500</v>
      </c>
      <c r="W339" s="18">
        <v>500</v>
      </c>
      <c r="X339" s="18">
        <v>500</v>
      </c>
      <c r="Y339" s="18">
        <v>500</v>
      </c>
      <c r="Z339" s="6">
        <f t="shared" ref="Z339:Z354" si="73">T339+U339+V339+W339+X339+Y339</f>
        <v>3000</v>
      </c>
      <c r="AA339" s="19">
        <v>2020</v>
      </c>
      <c r="AB339" s="48"/>
      <c r="AC339" s="48"/>
      <c r="AD339" s="48"/>
      <c r="AE339" s="1"/>
      <c r="AF339" s="1"/>
    </row>
    <row r="340" spans="1:32" s="22" customFormat="1" ht="52.5" hidden="1" customHeight="1" x14ac:dyDescent="0.25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9" t="s">
        <v>159</v>
      </c>
      <c r="S340" s="13" t="s">
        <v>19</v>
      </c>
      <c r="T340" s="11" t="s">
        <v>20</v>
      </c>
      <c r="U340" s="11" t="s">
        <v>20</v>
      </c>
      <c r="V340" s="11" t="s">
        <v>20</v>
      </c>
      <c r="W340" s="11" t="s">
        <v>20</v>
      </c>
      <c r="X340" s="11" t="s">
        <v>20</v>
      </c>
      <c r="Y340" s="11" t="s">
        <v>20</v>
      </c>
      <c r="Z340" s="11" t="s">
        <v>20</v>
      </c>
      <c r="AA340" s="13">
        <v>2020</v>
      </c>
      <c r="AB340" s="48"/>
      <c r="AC340" s="48"/>
      <c r="AD340" s="48"/>
      <c r="AE340" s="1"/>
      <c r="AF340" s="1"/>
    </row>
    <row r="341" spans="1:32" s="22" customFormat="1" ht="60" hidden="1" x14ac:dyDescent="0.25">
      <c r="A341" s="41"/>
      <c r="B341" s="41"/>
      <c r="C341" s="41"/>
      <c r="D341" s="41"/>
      <c r="E341" s="41"/>
      <c r="F341" s="41"/>
      <c r="G341" s="41"/>
      <c r="H341" s="41"/>
      <c r="I341" s="41"/>
      <c r="J341" s="41"/>
      <c r="K341" s="41"/>
      <c r="L341" s="41"/>
      <c r="M341" s="41"/>
      <c r="N341" s="41"/>
      <c r="O341" s="41"/>
      <c r="P341" s="41"/>
      <c r="Q341" s="41"/>
      <c r="R341" s="17" t="s">
        <v>160</v>
      </c>
      <c r="S341" s="15" t="s">
        <v>9</v>
      </c>
      <c r="T341" s="18">
        <v>5</v>
      </c>
      <c r="U341" s="18">
        <v>5</v>
      </c>
      <c r="V341" s="18">
        <v>5</v>
      </c>
      <c r="W341" s="18">
        <v>5</v>
      </c>
      <c r="X341" s="18">
        <v>5</v>
      </c>
      <c r="Y341" s="18">
        <v>5</v>
      </c>
      <c r="Z341" s="6">
        <f t="shared" si="73"/>
        <v>30</v>
      </c>
      <c r="AA341" s="19">
        <v>2020</v>
      </c>
      <c r="AB341" s="48"/>
      <c r="AC341" s="48"/>
      <c r="AD341" s="48"/>
      <c r="AE341" s="1"/>
      <c r="AF341" s="1"/>
    </row>
    <row r="342" spans="1:32" s="22" customFormat="1" ht="45" hidden="1" x14ac:dyDescent="0.25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9" t="s">
        <v>161</v>
      </c>
      <c r="S342" s="13" t="s">
        <v>19</v>
      </c>
      <c r="T342" s="11" t="s">
        <v>20</v>
      </c>
      <c r="U342" s="11" t="s">
        <v>20</v>
      </c>
      <c r="V342" s="11" t="s">
        <v>20</v>
      </c>
      <c r="W342" s="11" t="s">
        <v>20</v>
      </c>
      <c r="X342" s="11" t="s">
        <v>20</v>
      </c>
      <c r="Y342" s="11" t="s">
        <v>20</v>
      </c>
      <c r="Z342" s="11" t="s">
        <v>20</v>
      </c>
      <c r="AA342" s="13">
        <v>2020</v>
      </c>
      <c r="AB342" s="48"/>
      <c r="AC342" s="48"/>
      <c r="AD342" s="48"/>
      <c r="AE342" s="1"/>
      <c r="AF342" s="1"/>
    </row>
    <row r="343" spans="1:32" s="22" customFormat="1" ht="45" hidden="1" x14ac:dyDescent="0.25">
      <c r="A343" s="41"/>
      <c r="B343" s="41"/>
      <c r="C343" s="41"/>
      <c r="D343" s="41"/>
      <c r="E343" s="41"/>
      <c r="F343" s="41"/>
      <c r="G343" s="41"/>
      <c r="H343" s="41"/>
      <c r="I343" s="41"/>
      <c r="J343" s="41"/>
      <c r="K343" s="41"/>
      <c r="L343" s="41"/>
      <c r="M343" s="41"/>
      <c r="N343" s="41"/>
      <c r="O343" s="41"/>
      <c r="P343" s="41"/>
      <c r="Q343" s="41"/>
      <c r="R343" s="17" t="s">
        <v>162</v>
      </c>
      <c r="S343" s="15" t="s">
        <v>9</v>
      </c>
      <c r="T343" s="18">
        <v>50</v>
      </c>
      <c r="U343" s="18">
        <v>50</v>
      </c>
      <c r="V343" s="18">
        <v>50</v>
      </c>
      <c r="W343" s="18">
        <v>50</v>
      </c>
      <c r="X343" s="18">
        <v>50</v>
      </c>
      <c r="Y343" s="18">
        <v>50</v>
      </c>
      <c r="Z343" s="6">
        <f>T343+U343+V343+W343+X343+Y343</f>
        <v>300</v>
      </c>
      <c r="AA343" s="19">
        <v>2020</v>
      </c>
      <c r="AB343" s="48"/>
      <c r="AC343" s="48"/>
      <c r="AD343" s="48"/>
      <c r="AE343" s="1"/>
      <c r="AF343" s="1"/>
    </row>
    <row r="344" spans="1:32" s="22" customFormat="1" ht="30" hidden="1" x14ac:dyDescent="0.25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9" t="s">
        <v>163</v>
      </c>
      <c r="S344" s="13" t="s">
        <v>19</v>
      </c>
      <c r="T344" s="11" t="s">
        <v>20</v>
      </c>
      <c r="U344" s="11" t="s">
        <v>20</v>
      </c>
      <c r="V344" s="11" t="s">
        <v>20</v>
      </c>
      <c r="W344" s="11" t="s">
        <v>20</v>
      </c>
      <c r="X344" s="11" t="s">
        <v>20</v>
      </c>
      <c r="Y344" s="11" t="s">
        <v>20</v>
      </c>
      <c r="Z344" s="11" t="s">
        <v>20</v>
      </c>
      <c r="AA344" s="13">
        <v>2020</v>
      </c>
      <c r="AB344" s="48"/>
      <c r="AC344" s="48"/>
      <c r="AD344" s="48"/>
      <c r="AE344" s="1"/>
      <c r="AF344" s="1"/>
    </row>
    <row r="345" spans="1:32" s="22" customFormat="1" ht="52.5" hidden="1" customHeight="1" x14ac:dyDescent="0.25">
      <c r="A345" s="41"/>
      <c r="B345" s="41"/>
      <c r="C345" s="41"/>
      <c r="D345" s="41"/>
      <c r="E345" s="41"/>
      <c r="F345" s="41"/>
      <c r="G345" s="41"/>
      <c r="H345" s="41"/>
      <c r="I345" s="41"/>
      <c r="J345" s="41"/>
      <c r="K345" s="41"/>
      <c r="L345" s="41"/>
      <c r="M345" s="41"/>
      <c r="N345" s="41"/>
      <c r="O345" s="41"/>
      <c r="P345" s="41"/>
      <c r="Q345" s="41"/>
      <c r="R345" s="17" t="s">
        <v>164</v>
      </c>
      <c r="S345" s="15" t="s">
        <v>9</v>
      </c>
      <c r="T345" s="18">
        <v>50</v>
      </c>
      <c r="U345" s="18">
        <v>50</v>
      </c>
      <c r="V345" s="18">
        <v>50</v>
      </c>
      <c r="W345" s="18">
        <v>50</v>
      </c>
      <c r="X345" s="18">
        <v>50</v>
      </c>
      <c r="Y345" s="18">
        <v>50</v>
      </c>
      <c r="Z345" s="6">
        <f t="shared" si="73"/>
        <v>300</v>
      </c>
      <c r="AA345" s="19">
        <v>2020</v>
      </c>
      <c r="AB345" s="48"/>
      <c r="AC345" s="48"/>
      <c r="AD345" s="48"/>
      <c r="AE345" s="1"/>
      <c r="AF345" s="1"/>
    </row>
    <row r="346" spans="1:32" s="22" customFormat="1" ht="39.6" hidden="1" customHeight="1" x14ac:dyDescent="0.25">
      <c r="A346" s="41"/>
      <c r="B346" s="41"/>
      <c r="C346" s="41"/>
      <c r="D346" s="41"/>
      <c r="E346" s="41"/>
      <c r="F346" s="41"/>
      <c r="G346" s="41"/>
      <c r="H346" s="41"/>
      <c r="I346" s="41"/>
      <c r="J346" s="41"/>
      <c r="K346" s="41"/>
      <c r="L346" s="41"/>
      <c r="M346" s="41"/>
      <c r="N346" s="41"/>
      <c r="O346" s="41"/>
      <c r="P346" s="41"/>
      <c r="Q346" s="41"/>
      <c r="R346" s="17" t="s">
        <v>165</v>
      </c>
      <c r="S346" s="15" t="s">
        <v>10</v>
      </c>
      <c r="T346" s="18">
        <v>100</v>
      </c>
      <c r="U346" s="18">
        <v>100</v>
      </c>
      <c r="V346" s="18">
        <v>100</v>
      </c>
      <c r="W346" s="18">
        <v>100</v>
      </c>
      <c r="X346" s="18">
        <v>100</v>
      </c>
      <c r="Y346" s="18">
        <v>100</v>
      </c>
      <c r="Z346" s="6">
        <f t="shared" si="73"/>
        <v>600</v>
      </c>
      <c r="AA346" s="15">
        <v>2020</v>
      </c>
      <c r="AB346" s="48"/>
      <c r="AC346" s="48"/>
      <c r="AD346" s="48"/>
      <c r="AE346" s="1"/>
      <c r="AF346" s="1"/>
    </row>
    <row r="347" spans="1:32" s="22" customFormat="1" ht="45" hidden="1" x14ac:dyDescent="0.25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9" t="s">
        <v>166</v>
      </c>
      <c r="S347" s="13" t="s">
        <v>19</v>
      </c>
      <c r="T347" s="11" t="s">
        <v>20</v>
      </c>
      <c r="U347" s="11" t="s">
        <v>20</v>
      </c>
      <c r="V347" s="11" t="s">
        <v>20</v>
      </c>
      <c r="W347" s="11" t="s">
        <v>20</v>
      </c>
      <c r="X347" s="11" t="s">
        <v>20</v>
      </c>
      <c r="Y347" s="11" t="s">
        <v>20</v>
      </c>
      <c r="Z347" s="11" t="s">
        <v>20</v>
      </c>
      <c r="AA347" s="35">
        <v>2020</v>
      </c>
      <c r="AB347" s="48"/>
      <c r="AC347" s="48"/>
      <c r="AD347" s="48"/>
      <c r="AE347" s="1"/>
      <c r="AF347" s="1"/>
    </row>
    <row r="348" spans="1:32" s="22" customFormat="1" ht="30" hidden="1" x14ac:dyDescent="0.25">
      <c r="A348" s="41"/>
      <c r="B348" s="41"/>
      <c r="C348" s="41"/>
      <c r="D348" s="41"/>
      <c r="E348" s="41"/>
      <c r="F348" s="41"/>
      <c r="G348" s="41"/>
      <c r="H348" s="41"/>
      <c r="I348" s="41"/>
      <c r="J348" s="41"/>
      <c r="K348" s="41"/>
      <c r="L348" s="41"/>
      <c r="M348" s="41"/>
      <c r="N348" s="41"/>
      <c r="O348" s="41"/>
      <c r="P348" s="41"/>
      <c r="Q348" s="41"/>
      <c r="R348" s="17" t="s">
        <v>167</v>
      </c>
      <c r="S348" s="15" t="s">
        <v>13</v>
      </c>
      <c r="T348" s="18">
        <v>12</v>
      </c>
      <c r="U348" s="18">
        <v>12</v>
      </c>
      <c r="V348" s="18">
        <v>12</v>
      </c>
      <c r="W348" s="18">
        <v>12</v>
      </c>
      <c r="X348" s="18">
        <v>12</v>
      </c>
      <c r="Y348" s="18">
        <v>12</v>
      </c>
      <c r="Z348" s="6">
        <f t="shared" si="73"/>
        <v>72</v>
      </c>
      <c r="AA348" s="15">
        <v>2020</v>
      </c>
      <c r="AB348" s="48"/>
      <c r="AC348" s="48"/>
      <c r="AD348" s="48"/>
      <c r="AE348" s="1"/>
      <c r="AF348" s="1"/>
    </row>
    <row r="349" spans="1:32" s="22" customFormat="1" ht="45" hidden="1" x14ac:dyDescent="0.25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9" t="s">
        <v>168</v>
      </c>
      <c r="S349" s="13" t="s">
        <v>19</v>
      </c>
      <c r="T349" s="11" t="s">
        <v>20</v>
      </c>
      <c r="U349" s="11" t="s">
        <v>20</v>
      </c>
      <c r="V349" s="11" t="s">
        <v>20</v>
      </c>
      <c r="W349" s="11" t="s">
        <v>20</v>
      </c>
      <c r="X349" s="11" t="s">
        <v>20</v>
      </c>
      <c r="Y349" s="11" t="s">
        <v>20</v>
      </c>
      <c r="Z349" s="30" t="s">
        <v>20</v>
      </c>
      <c r="AA349" s="35">
        <v>2020</v>
      </c>
      <c r="AB349" s="48"/>
      <c r="AC349" s="48"/>
      <c r="AD349" s="48"/>
      <c r="AE349" s="1"/>
      <c r="AF349" s="1"/>
    </row>
    <row r="350" spans="1:32" s="22" customFormat="1" ht="30" hidden="1" x14ac:dyDescent="0.25">
      <c r="A350" s="41"/>
      <c r="B350" s="41"/>
      <c r="C350" s="41"/>
      <c r="D350" s="41"/>
      <c r="E350" s="41"/>
      <c r="F350" s="41"/>
      <c r="G350" s="41"/>
      <c r="H350" s="41"/>
      <c r="I350" s="41"/>
      <c r="J350" s="41"/>
      <c r="K350" s="41"/>
      <c r="L350" s="41"/>
      <c r="M350" s="41"/>
      <c r="N350" s="41"/>
      <c r="O350" s="41"/>
      <c r="P350" s="41"/>
      <c r="Q350" s="41"/>
      <c r="R350" s="17" t="s">
        <v>169</v>
      </c>
      <c r="S350" s="15" t="s">
        <v>13</v>
      </c>
      <c r="T350" s="18">
        <v>4</v>
      </c>
      <c r="U350" s="18">
        <v>4</v>
      </c>
      <c r="V350" s="18">
        <v>4</v>
      </c>
      <c r="W350" s="18">
        <v>4</v>
      </c>
      <c r="X350" s="18">
        <v>4</v>
      </c>
      <c r="Y350" s="18">
        <v>4</v>
      </c>
      <c r="Z350" s="6">
        <f t="shared" si="73"/>
        <v>24</v>
      </c>
      <c r="AA350" s="15">
        <v>2020</v>
      </c>
      <c r="AB350" s="48"/>
      <c r="AC350" s="48"/>
      <c r="AD350" s="48"/>
      <c r="AE350" s="1"/>
      <c r="AF350" s="1"/>
    </row>
    <row r="351" spans="1:32" s="22" customFormat="1" ht="45" hidden="1" x14ac:dyDescent="0.25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9" t="s">
        <v>170</v>
      </c>
      <c r="S351" s="13" t="s">
        <v>19</v>
      </c>
      <c r="T351" s="11" t="s">
        <v>20</v>
      </c>
      <c r="U351" s="11" t="s">
        <v>20</v>
      </c>
      <c r="V351" s="11" t="s">
        <v>20</v>
      </c>
      <c r="W351" s="11" t="s">
        <v>20</v>
      </c>
      <c r="X351" s="11" t="s">
        <v>20</v>
      </c>
      <c r="Y351" s="11" t="s">
        <v>20</v>
      </c>
      <c r="Z351" s="30" t="s">
        <v>20</v>
      </c>
      <c r="AA351" s="35">
        <v>2020</v>
      </c>
      <c r="AB351" s="48"/>
      <c r="AC351" s="48"/>
      <c r="AD351" s="48"/>
      <c r="AE351" s="1"/>
      <c r="AF351" s="1"/>
    </row>
    <row r="352" spans="1:32" s="22" customFormat="1" ht="30" hidden="1" x14ac:dyDescent="0.25">
      <c r="A352" s="41"/>
      <c r="B352" s="41"/>
      <c r="C352" s="41"/>
      <c r="D352" s="41"/>
      <c r="E352" s="41"/>
      <c r="F352" s="41"/>
      <c r="G352" s="41"/>
      <c r="H352" s="41"/>
      <c r="I352" s="41"/>
      <c r="J352" s="41"/>
      <c r="K352" s="41"/>
      <c r="L352" s="41"/>
      <c r="M352" s="41"/>
      <c r="N352" s="41"/>
      <c r="O352" s="41"/>
      <c r="P352" s="41"/>
      <c r="Q352" s="41"/>
      <c r="R352" s="17" t="s">
        <v>171</v>
      </c>
      <c r="S352" s="15" t="s">
        <v>13</v>
      </c>
      <c r="T352" s="18">
        <v>5</v>
      </c>
      <c r="U352" s="18">
        <v>5</v>
      </c>
      <c r="V352" s="18">
        <v>5</v>
      </c>
      <c r="W352" s="18">
        <v>5</v>
      </c>
      <c r="X352" s="18">
        <v>5</v>
      </c>
      <c r="Y352" s="18">
        <v>5</v>
      </c>
      <c r="Z352" s="6">
        <f t="shared" si="73"/>
        <v>30</v>
      </c>
      <c r="AA352" s="15">
        <v>2020</v>
      </c>
      <c r="AB352" s="48"/>
      <c r="AC352" s="48"/>
      <c r="AD352" s="48"/>
      <c r="AE352" s="1"/>
      <c r="AF352" s="1"/>
    </row>
    <row r="353" spans="1:32" s="22" customFormat="1" ht="45" hidden="1" x14ac:dyDescent="0.25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9" t="s">
        <v>172</v>
      </c>
      <c r="S353" s="13" t="s">
        <v>19</v>
      </c>
      <c r="T353" s="11" t="s">
        <v>20</v>
      </c>
      <c r="U353" s="11" t="s">
        <v>20</v>
      </c>
      <c r="V353" s="11" t="s">
        <v>20</v>
      </c>
      <c r="W353" s="11" t="s">
        <v>20</v>
      </c>
      <c r="X353" s="11" t="s">
        <v>20</v>
      </c>
      <c r="Y353" s="11" t="s">
        <v>20</v>
      </c>
      <c r="Z353" s="11" t="s">
        <v>20</v>
      </c>
      <c r="AA353" s="35">
        <v>2020</v>
      </c>
      <c r="AB353" s="48"/>
      <c r="AC353" s="48"/>
      <c r="AD353" s="48"/>
      <c r="AE353" s="1"/>
      <c r="AF353" s="1"/>
    </row>
    <row r="354" spans="1:32" s="22" customFormat="1" ht="30" hidden="1" x14ac:dyDescent="0.25">
      <c r="A354" s="41"/>
      <c r="B354" s="41"/>
      <c r="C354" s="41"/>
      <c r="D354" s="41"/>
      <c r="E354" s="41"/>
      <c r="F354" s="41"/>
      <c r="G354" s="41"/>
      <c r="H354" s="41"/>
      <c r="I354" s="41"/>
      <c r="J354" s="41"/>
      <c r="K354" s="41"/>
      <c r="L354" s="41"/>
      <c r="M354" s="41"/>
      <c r="N354" s="41"/>
      <c r="O354" s="41"/>
      <c r="P354" s="41"/>
      <c r="Q354" s="41"/>
      <c r="R354" s="17" t="s">
        <v>171</v>
      </c>
      <c r="S354" s="15" t="s">
        <v>13</v>
      </c>
      <c r="T354" s="18">
        <v>4</v>
      </c>
      <c r="U354" s="18">
        <v>4</v>
      </c>
      <c r="V354" s="18">
        <v>4</v>
      </c>
      <c r="W354" s="18">
        <v>4</v>
      </c>
      <c r="X354" s="18">
        <v>4</v>
      </c>
      <c r="Y354" s="18">
        <v>4</v>
      </c>
      <c r="Z354" s="6">
        <f t="shared" si="73"/>
        <v>24</v>
      </c>
      <c r="AA354" s="15">
        <v>2020</v>
      </c>
      <c r="AB354" s="48"/>
      <c r="AC354" s="48"/>
      <c r="AD354" s="48"/>
      <c r="AE354" s="1"/>
      <c r="AF354" s="1"/>
    </row>
    <row r="355" spans="1:32" s="22" customFormat="1" x14ac:dyDescent="0.25">
      <c r="A355" s="69"/>
      <c r="B355" s="69"/>
      <c r="C355" s="69"/>
      <c r="D355" s="69"/>
      <c r="E355" s="69"/>
      <c r="F355" s="69"/>
      <c r="G355" s="69"/>
      <c r="H355" s="69"/>
      <c r="I355" s="69"/>
      <c r="J355" s="69"/>
      <c r="K355" s="69"/>
      <c r="L355" s="69"/>
      <c r="M355" s="69"/>
      <c r="N355" s="69"/>
      <c r="O355" s="69"/>
      <c r="P355" s="69"/>
      <c r="Q355" s="69"/>
      <c r="R355" s="70"/>
      <c r="S355" s="44"/>
      <c r="T355" s="45"/>
      <c r="U355" s="45"/>
      <c r="V355" s="45"/>
      <c r="W355" s="45"/>
      <c r="X355" s="45"/>
      <c r="Y355" s="45"/>
      <c r="Z355" s="46"/>
      <c r="AA355" s="44"/>
      <c r="AB355" s="48"/>
      <c r="AC355" s="48"/>
      <c r="AD355" s="48"/>
      <c r="AE355" s="1"/>
      <c r="AF355" s="1"/>
    </row>
    <row r="356" spans="1:32" s="22" customFormat="1" x14ac:dyDescent="0.25">
      <c r="A356" s="115" t="s">
        <v>53</v>
      </c>
      <c r="B356" s="115"/>
      <c r="C356" s="115"/>
      <c r="D356" s="115"/>
      <c r="E356" s="115"/>
      <c r="F356" s="115"/>
      <c r="G356" s="115"/>
      <c r="H356" s="115"/>
      <c r="I356" s="115"/>
      <c r="J356" s="115"/>
      <c r="K356" s="115"/>
      <c r="L356" s="115"/>
      <c r="M356" s="115"/>
      <c r="N356" s="115"/>
      <c r="O356" s="115"/>
      <c r="P356" s="115"/>
      <c r="Q356" s="115"/>
      <c r="R356" s="115"/>
      <c r="S356" s="115"/>
      <c r="T356" s="115"/>
      <c r="U356" s="115"/>
      <c r="V356" s="115"/>
      <c r="W356" s="115"/>
      <c r="X356" s="115"/>
      <c r="Y356" s="115"/>
      <c r="Z356" s="115"/>
      <c r="AA356" s="115"/>
      <c r="AB356" s="48"/>
      <c r="AC356" s="48"/>
      <c r="AD356" s="48"/>
      <c r="AE356" s="1"/>
      <c r="AF356" s="1"/>
    </row>
    <row r="357" spans="1:32" s="22" customFormat="1" x14ac:dyDescent="0.25">
      <c r="A357" s="51"/>
      <c r="B357" s="51"/>
      <c r="C357" s="84"/>
      <c r="D357" s="84"/>
      <c r="E357" s="84"/>
      <c r="F357" s="102"/>
      <c r="G357" s="102"/>
      <c r="H357" s="102"/>
      <c r="I357" s="102"/>
      <c r="J357" s="102"/>
      <c r="K357" s="102"/>
      <c r="L357" s="102"/>
      <c r="M357" s="102"/>
      <c r="N357" s="102"/>
      <c r="O357" s="102"/>
      <c r="P357" s="102"/>
      <c r="Q357" s="85"/>
      <c r="R357" s="102"/>
      <c r="S357" s="102"/>
      <c r="T357" s="102"/>
      <c r="U357" s="102"/>
      <c r="V357" s="102"/>
      <c r="W357" s="102"/>
      <c r="X357" s="102"/>
      <c r="Y357" s="102"/>
      <c r="Z357" s="102"/>
      <c r="AA357" s="101" t="s">
        <v>192</v>
      </c>
      <c r="AB357" s="48"/>
      <c r="AC357" s="48"/>
      <c r="AD357" s="48"/>
      <c r="AE357" s="1"/>
      <c r="AF357" s="1"/>
    </row>
    <row r="358" spans="1:32" s="22" customFormat="1" x14ac:dyDescent="0.25">
      <c r="A358" s="51"/>
      <c r="B358" s="51"/>
      <c r="C358" s="84"/>
      <c r="D358" s="84"/>
      <c r="E358" s="84"/>
      <c r="F358" s="102"/>
      <c r="G358" s="102"/>
      <c r="H358" s="102"/>
      <c r="I358" s="102"/>
      <c r="J358" s="102"/>
      <c r="K358" s="102"/>
      <c r="L358" s="102"/>
      <c r="M358" s="102"/>
      <c r="N358" s="102"/>
      <c r="O358" s="102"/>
      <c r="P358" s="102"/>
      <c r="Q358" s="85"/>
      <c r="R358" s="102"/>
      <c r="S358" s="102"/>
      <c r="T358" s="102"/>
      <c r="U358" s="102"/>
      <c r="V358" s="102"/>
      <c r="W358" s="102"/>
      <c r="X358" s="102"/>
      <c r="Y358" s="102"/>
      <c r="Z358" s="102"/>
      <c r="AA358" s="101"/>
      <c r="AB358" s="48"/>
      <c r="AC358" s="48"/>
      <c r="AD358" s="48"/>
      <c r="AE358" s="1"/>
      <c r="AF358" s="1"/>
    </row>
    <row r="359" spans="1:32" ht="13.9" customHeight="1" x14ac:dyDescent="0.25">
      <c r="A359" s="114" t="s">
        <v>239</v>
      </c>
      <c r="B359" s="114"/>
      <c r="C359" s="114"/>
      <c r="D359" s="114"/>
      <c r="E359" s="114"/>
      <c r="F359" s="114"/>
      <c r="G359" s="114"/>
      <c r="H359" s="114"/>
      <c r="I359" s="114"/>
      <c r="J359" s="114"/>
      <c r="K359" s="114"/>
      <c r="L359" s="114"/>
      <c r="M359" s="114"/>
      <c r="N359" s="114"/>
      <c r="O359" s="114"/>
      <c r="P359" s="114"/>
      <c r="Q359" s="114"/>
      <c r="R359" s="114"/>
      <c r="S359" s="114"/>
      <c r="T359" s="114"/>
      <c r="U359" s="114"/>
      <c r="V359" s="114"/>
      <c r="W359" s="114"/>
      <c r="X359" s="114"/>
      <c r="Y359" s="114"/>
      <c r="Z359" s="114"/>
      <c r="AA359" s="114"/>
    </row>
  </sheetData>
  <mergeCells count="21">
    <mergeCell ref="A359:AA359"/>
    <mergeCell ref="V1:AA1"/>
    <mergeCell ref="A356:AA356"/>
    <mergeCell ref="A12:C12"/>
    <mergeCell ref="D12:E12"/>
    <mergeCell ref="F12:G12"/>
    <mergeCell ref="A11:Q11"/>
    <mergeCell ref="H12:Q12"/>
    <mergeCell ref="S11:S12"/>
    <mergeCell ref="R11:R12"/>
    <mergeCell ref="Z11:AA11"/>
    <mergeCell ref="T11:Y11"/>
    <mergeCell ref="A9:AA9"/>
    <mergeCell ref="A8:AA8"/>
    <mergeCell ref="A2:AA2"/>
    <mergeCell ref="A3:AA3"/>
    <mergeCell ref="A4:AA4"/>
    <mergeCell ref="A5:AA5"/>
    <mergeCell ref="A7:AA7"/>
    <mergeCell ref="AE312:AF312"/>
    <mergeCell ref="AE320:AF320"/>
  </mergeCells>
  <pageMargins left="0.39370078740157483" right="0.39370078740157483" top="1.1811023622047245" bottom="0.59055118110236227" header="0" footer="0"/>
  <pageSetup paperSize="9" scale="65" orientation="landscape" r:id="rId1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Всего-дор</vt:lpstr>
      <vt:lpstr>'Всего-дор'!Заголовки_для_печати</vt:lpstr>
      <vt:lpstr>'Всего-дор'!Область_печати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2017-10-04T14:11:03Z</dcterms:modified>
</cp:coreProperties>
</file>